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1760" tabRatio="968" firstSheet="20" activeTab="31"/>
  </bookViews>
  <sheets>
    <sheet name="Z_TARTALOMJEGYZÉK" sheetId="1" r:id="rId1"/>
    <sheet name="Z_ALAPADATOK" sheetId="2" r:id="rId2"/>
    <sheet name="Z_ÖSSZEFÜGGÉSEK" sheetId="3" r:id="rId3"/>
    <sheet name="Z_1.1.sz.mell." sheetId="4" r:id="rId4"/>
    <sheet name="Z_1.2.sz.mell." sheetId="5" r:id="rId5"/>
    <sheet name="Z_1.3.sz.mell." sheetId="6" r:id="rId6"/>
    <sheet name="Z_2.1.sz.mell" sheetId="7" r:id="rId7"/>
    <sheet name="Z_2.2.sz.mell" sheetId="8" r:id="rId8"/>
    <sheet name="Z_ELLENŐRZÉS" sheetId="9" r:id="rId9"/>
    <sheet name="Z_3.sz.mell." sheetId="10" r:id="rId10"/>
    <sheet name="Z_4.sz.mell." sheetId="11" r:id="rId11"/>
    <sheet name="Z_5.1.sz.mell." sheetId="12" r:id="rId12"/>
    <sheet name="Z_5.2.sz.mell." sheetId="13" r:id="rId13"/>
    <sheet name="Z_6.1.sz.mell" sheetId="14" r:id="rId14"/>
    <sheet name="Z_6.1.1.sz.mell" sheetId="15" r:id="rId15"/>
    <sheet name="Z_6.1.2.sz.mell" sheetId="16" r:id="rId16"/>
    <sheet name="Z_6.2.sz.mell" sheetId="17" r:id="rId17"/>
    <sheet name="Z_6.2.1.sz.mell" sheetId="18" r:id="rId18"/>
    <sheet name="Z_6.2.2.sz.mell" sheetId="19" r:id="rId19"/>
    <sheet name="Z_7.sz.mell" sheetId="20" r:id="rId20"/>
    <sheet name="Z_8.sz.mell" sheetId="21" r:id="rId21"/>
    <sheet name="Z_1.tájékoztató_t." sheetId="22" r:id="rId22"/>
    <sheet name="Z_2.tájékoztató_t." sheetId="23" r:id="rId23"/>
    <sheet name="Z_3.tájékoztató_t." sheetId="24" r:id="rId24"/>
    <sheet name="Z_4.tájékoztató_t." sheetId="25" r:id="rId25"/>
    <sheet name="Z_5.tájékoztató_t." sheetId="26" r:id="rId26"/>
    <sheet name="Z_6.tájékoztató_t." sheetId="27" r:id="rId27"/>
    <sheet name="Z_7.1.tájékoztató_t." sheetId="28" r:id="rId28"/>
    <sheet name="Z_7.2.tájékoztató_t." sheetId="29" r:id="rId29"/>
    <sheet name="Z_7.3.tájékoztató_t." sheetId="30" r:id="rId30"/>
    <sheet name="Z_8.tájékoztató_t." sheetId="31" r:id="rId31"/>
    <sheet name="Z_9.tájékoztató_t." sheetId="32" r:id="rId32"/>
  </sheets>
  <definedNames>
    <definedName name="_ftn1" localSheetId="29">'Z_7.3.tájékoztató_t.'!$A$31</definedName>
    <definedName name="_ftnref1" localSheetId="29">'Z_7.3.tájékoztató_t.'!$A$22</definedName>
    <definedName name="_xlfn.IFERROR" hidden="1">#NAME?</definedName>
    <definedName name="_xlnm.Print_Titles" localSheetId="14">'Z_6.1.1.sz.mell'!$1:$6</definedName>
    <definedName name="_xlnm.Print_Titles" localSheetId="15">'Z_6.1.2.sz.mell'!$1:$6</definedName>
    <definedName name="_xlnm.Print_Titles" localSheetId="13">'Z_6.1.sz.mell'!$1:$6</definedName>
    <definedName name="_xlnm.Print_Titles" localSheetId="17">'Z_6.2.1.sz.mell'!$1:$6</definedName>
    <definedName name="_xlnm.Print_Titles" localSheetId="18">'Z_6.2.2.sz.mell'!$1:$6</definedName>
    <definedName name="_xlnm.Print_Titles" localSheetId="16">'Z_6.2.sz.mell'!$1:$6</definedName>
    <definedName name="_xlnm.Print_Titles" localSheetId="27">'Z_7.1.tájékoztató_t.'!$5:$9</definedName>
    <definedName name="_xlnm.Print_Area" localSheetId="3">'Z_1.1.sz.mell.'!$A$1:$E$167</definedName>
    <definedName name="_xlnm.Print_Area" localSheetId="4">'Z_1.2.sz.mell.'!$A$1:$E$167</definedName>
    <definedName name="_xlnm.Print_Area" localSheetId="5">'Z_1.3.sz.mell.'!$A$1:$E$167</definedName>
    <definedName name="_xlnm.Print_Area" localSheetId="21">'Z_1.tájékoztató_t.'!$A$1:$E$150</definedName>
  </definedNames>
  <calcPr fullCalcOnLoad="1"/>
</workbook>
</file>

<file path=xl/sharedStrings.xml><?xml version="1.0" encoding="utf-8"?>
<sst xmlns="http://schemas.openxmlformats.org/spreadsheetml/2006/main" count="3640" uniqueCount="984">
  <si>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</si>
  <si>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</si>
  <si>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</si>
  <si>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</si>
  <si>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</si>
  <si>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</si>
  <si>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</si>
  <si>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</si>
  <si>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</si>
  <si>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</si>
  <si>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</si>
  <si>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</si>
  <si>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</si>
  <si>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</si>
  <si>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</si>
  <si>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</si>
  <si>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</si>
  <si>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</si>
  <si>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</si>
  <si>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</si>
  <si>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</si>
  <si>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</si>
  <si>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</si>
  <si>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</si>
  <si>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</si>
  <si>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</si>
  <si>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</si>
  <si>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</si>
  <si>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</si>
  <si>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</si>
  <si>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</si>
  <si>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</si>
  <si>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</si>
  <si>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</si>
  <si>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</si>
  <si>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</si>
  <si>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</si>
  <si>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</si>
  <si>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</si>
  <si>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</si>
  <si>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</si>
  <si>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</si>
  <si>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</si>
  <si>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</si>
  <si>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</si>
  <si>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</si>
  <si>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</si>
  <si>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</si>
  <si>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</si>
  <si>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</si>
  <si>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</si>
  <si>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</si>
  <si>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</si>
  <si>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</si>
  <si>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</si>
  <si>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</si>
  <si>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</si>
  <si>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</si>
  <si>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</si>
  <si>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</si>
  <si>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</si>
  <si>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</si>
  <si>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</si>
  <si>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</si>
  <si>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</si>
  <si>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</si>
  <si>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</si>
  <si>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</si>
  <si>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</si>
  <si>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</si>
  <si>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</si>
  <si>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</si>
  <si>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</si>
  <si>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</si>
  <si>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</si>
  <si>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</si>
  <si>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</si>
  <si>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</si>
  <si>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</si>
  <si>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</si>
  <si>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</si>
  <si>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</si>
  <si>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</si>
  <si>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</si>
  <si>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</si>
  <si>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</si>
  <si>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</si>
  <si>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</si>
  <si>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</si>
  <si>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</si>
  <si>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</si>
  <si>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</si>
  <si>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</si>
  <si>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</si>
  <si>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</si>
  <si>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</si>
  <si>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</si>
  <si>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</si>
  <si>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</si>
  <si>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</si>
  <si>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</si>
  <si>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</si>
  <si>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</si>
  <si>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</si>
  <si>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</si>
  <si>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</si>
  <si>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</si>
  <si>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</si>
  <si>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</si>
  <si>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</si>
  <si>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</si>
  <si>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</si>
  <si>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</si>
  <si>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</si>
  <si>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</si>
  <si>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</si>
  <si>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</si>
  <si>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</si>
  <si>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</si>
  <si>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</si>
  <si>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</si>
  <si>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</si>
  <si>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</si>
  <si>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</si>
  <si>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</si>
  <si>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</si>
  <si>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</si>
  <si>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</si>
  <si>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</si>
  <si>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</si>
  <si>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</si>
  <si>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</si>
  <si>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</si>
  <si>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</si>
  <si>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</si>
  <si>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</si>
  <si>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</si>
  <si>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</si>
  <si>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</si>
  <si>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</si>
  <si>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</si>
  <si>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</si>
  <si>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</si>
  <si>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</si>
  <si>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</si>
  <si>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</si>
  <si>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</si>
  <si>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</si>
  <si>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</si>
  <si>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</si>
  <si>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</si>
  <si>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</si>
  <si>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</si>
  <si>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</si>
  <si>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</si>
  <si>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</si>
  <si>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</si>
  <si>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</si>
  <si>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</si>
  <si>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</si>
  <si>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</si>
  <si>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</si>
  <si>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</si>
  <si>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</si>
  <si>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</si>
  <si>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</si>
  <si>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</si>
  <si>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</si>
  <si>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</si>
  <si>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</si>
  <si>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</si>
  <si>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</si>
  <si>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</si>
  <si>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</si>
  <si>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</si>
  <si>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</si>
  <si>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</si>
  <si>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</si>
  <si>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</si>
  <si>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</si>
  <si>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</si>
  <si>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</si>
  <si>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</si>
  <si>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</si>
  <si>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</si>
  <si>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</si>
  <si>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</si>
  <si>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</si>
  <si>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</si>
  <si>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</si>
  <si>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</si>
  <si>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</si>
  <si>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</si>
  <si>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</si>
  <si>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</si>
  <si>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</si>
  <si>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</si>
  <si>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</si>
  <si>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</si>
  <si>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</si>
  <si>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</si>
  <si>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</si>
  <si>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</si>
  <si>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</si>
  <si>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</si>
  <si>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</si>
  <si>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</si>
  <si>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</si>
  <si>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</si>
  <si>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</si>
  <si>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</si>
  <si>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</si>
  <si>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</si>
  <si>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</si>
  <si>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</si>
  <si>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</si>
  <si>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</si>
  <si>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</si>
  <si>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</si>
  <si>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</si>
  <si>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</si>
  <si>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</si>
  <si>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</si>
  <si>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</si>
  <si>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</si>
  <si>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</si>
  <si>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</si>
  <si>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</si>
  <si>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</si>
  <si>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</si>
  <si>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</si>
  <si>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</si>
  <si>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</si>
  <si>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</si>
  <si>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</si>
  <si>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</si>
  <si>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</si>
  <si>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</si>
  <si>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</si>
  <si>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</si>
  <si>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</si>
  <si>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</si>
  <si>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</si>
  <si>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</si>
  <si>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</si>
  <si>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</si>
  <si>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</si>
  <si>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</si>
  <si>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</si>
  <si>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</si>
  <si>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</si>
  <si>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</si>
  <si>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</si>
  <si>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</si>
  <si>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</si>
  <si>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</si>
  <si>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</si>
  <si>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</si>
  <si>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</si>
  <si>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</si>
  <si>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</si>
  <si>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</si>
  <si>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</si>
  <si>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</si>
  <si>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</si>
  <si>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</si>
  <si>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</si>
  <si>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</si>
  <si>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</si>
  <si>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</si>
  <si>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</si>
  <si>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</si>
  <si>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</si>
  <si>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</si>
  <si>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</si>
  <si>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</si>
  <si>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</si>
  <si>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</si>
  <si>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</si>
  <si>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</si>
  <si>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</si>
  <si>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</si>
  <si>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</si>
  <si>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</si>
  <si>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</si>
  <si>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</si>
  <si>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</si>
  <si>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</si>
  <si>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</si>
  <si>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</si>
  <si>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</si>
  <si>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</si>
  <si>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</si>
  <si>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</si>
  <si>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</si>
  <si>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</si>
  <si>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</si>
  <si>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</si>
  <si>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</si>
  <si>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</si>
  <si>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</si>
  <si>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</si>
  <si>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</si>
  <si>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</si>
  <si>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</si>
  <si>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</si>
  <si>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</si>
  <si>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</si>
  <si>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</si>
  <si>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</si>
  <si>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</si>
  <si>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</si>
  <si>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</si>
  <si>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</si>
  <si>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</si>
  <si>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</si>
  <si>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</si>
  <si>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</si>
  <si>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</si>
  <si>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</si>
  <si>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</si>
  <si>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</si>
  <si>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</si>
  <si>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</si>
  <si>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</si>
  <si>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</si>
  <si>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</si>
  <si>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</si>
  <si>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</si>
  <si>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</si>
  <si>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</si>
  <si>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</si>
  <si>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</si>
  <si>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</si>
  <si>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</si>
  <si>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</si>
  <si>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</si>
  <si>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</si>
  <si>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</si>
  <si>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</si>
  <si>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</si>
  <si>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</si>
  <si>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</si>
  <si>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</si>
  <si>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</si>
  <si>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</si>
  <si>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</si>
  <si>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</si>
  <si>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</si>
  <si>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</si>
  <si>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</si>
  <si>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</si>
  <si>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</si>
  <si>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</si>
  <si>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</si>
  <si>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</si>
  <si>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</si>
  <si>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</si>
  <si>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</si>
  <si>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</si>
  <si>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</si>
  <si>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</si>
  <si>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</si>
  <si>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</si>
  <si>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</si>
  <si>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</si>
  <si>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</si>
  <si>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</si>
  <si>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</si>
  <si>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</si>
  <si>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</si>
  <si>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</si>
  <si>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</si>
  <si>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</si>
  <si>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</si>
  <si>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</si>
  <si>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</si>
  <si>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</si>
  <si>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</si>
  <si>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</si>
  <si>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</si>
  <si>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</si>
  <si>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</si>
  <si>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</si>
  <si>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</si>
  <si>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</si>
  <si>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</si>
  <si>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</si>
  <si>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</si>
  <si>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</si>
  <si>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</si>
  <si>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</si>
  <si>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</si>
  <si>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</si>
  <si>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</si>
  <si>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</si>
  <si>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</si>
  <si>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</si>
  <si>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</si>
  <si>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</si>
  <si>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</si>
  <si>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</si>
  <si>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</si>
  <si>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</si>
  <si>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</si>
  <si>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</si>
  <si>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</si>
  <si>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</si>
  <si>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</si>
  <si>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</si>
  <si>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</si>
  <si>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</si>
  <si>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</si>
  <si>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</si>
  <si>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</si>
  <si>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</si>
  <si>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</si>
  <si>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</si>
  <si>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</si>
  <si>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</si>
  <si>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</si>
  <si>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</si>
  <si>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</si>
  <si>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</si>
  <si>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</si>
  <si>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</si>
  <si>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</si>
  <si>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</si>
  <si>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</si>
  <si>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</si>
  <si>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</si>
  <si>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</si>
  <si>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</si>
  <si>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</si>
  <si>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</si>
  <si>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</si>
  <si>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</si>
  <si>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</si>
  <si>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</si>
  <si>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</si>
  <si>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</si>
  <si>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</si>
  <si>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</si>
  <si>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</si>
  <si>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</si>
  <si>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</si>
  <si>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</si>
  <si>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</si>
  <si>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</si>
  <si>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</si>
  <si>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</si>
  <si>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</si>
  <si>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Eredeti ei.</t>
  </si>
  <si>
    <t>Módosított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</si>
  <si>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</si>
  <si>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</si>
  <si>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</si>
  <si>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</si>
  <si>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</si>
  <si>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</si>
  <si>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</si>
  <si>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</si>
  <si>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</si>
  <si>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</si>
  <si>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</si>
  <si>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</si>
  <si>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</si>
  <si>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</si>
  <si>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</si>
  <si>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</si>
  <si>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</si>
  <si>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</si>
  <si>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</si>
  <si>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</si>
  <si>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</si>
  <si>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</si>
  <si>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</si>
  <si>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</si>
  <si>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</si>
  <si>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</si>
  <si>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</si>
  <si>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</si>
  <si>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</si>
  <si>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</si>
  <si>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</si>
  <si>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</si>
  <si>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</si>
  <si>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</si>
  <si>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</si>
  <si>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</si>
  <si>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</si>
  <si>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</si>
  <si>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</si>
  <si>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</si>
  <si>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</si>
  <si>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</si>
  <si>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</si>
  <si>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</si>
  <si>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</si>
  <si>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</si>
  <si>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1 kvi név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</si>
  <si>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</si>
  <si>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</si>
  <si>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</si>
  <si>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</si>
  <si>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</si>
  <si>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</si>
  <si>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</si>
  <si>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</si>
  <si>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</si>
  <si>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</si>
  <si>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</si>
  <si>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</si>
  <si>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</si>
  <si>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</si>
  <si>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</si>
  <si>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</si>
  <si>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</si>
  <si>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</si>
  <si>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</si>
  <si>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</si>
  <si>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</si>
  <si>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</si>
  <si>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</si>
  <si>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</si>
  <si>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</si>
  <si>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Működési célú központosított előirányzatok</t>
  </si>
  <si>
    <t>Helyi önkormányzatok kiegészítő támogatásai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</si>
  <si>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</si>
  <si>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</si>
  <si>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</si>
  <si>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</si>
  <si>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</si>
  <si>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</si>
  <si>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</si>
  <si>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</si>
  <si>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</si>
  <si>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</si>
  <si>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</si>
  <si>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</si>
  <si>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</si>
  <si>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</si>
  <si>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</si>
  <si>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</si>
  <si>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</si>
  <si>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</si>
  <si>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</si>
  <si>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</si>
  <si>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</si>
  <si>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</si>
  <si>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</si>
  <si>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</si>
  <si>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</si>
  <si>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</si>
  <si>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</si>
  <si>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</si>
  <si>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</si>
  <si>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</si>
  <si>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</si>
  <si>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</si>
  <si>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</si>
  <si>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</si>
  <si>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</si>
  <si>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</si>
  <si>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</si>
  <si>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</si>
  <si>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</si>
  <si>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</si>
  <si>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</si>
  <si>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</si>
  <si>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</si>
  <si>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</si>
  <si>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</si>
  <si>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</si>
  <si>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</si>
  <si>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</si>
  <si>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</si>
  <si>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</si>
  <si>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</si>
  <si>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</si>
  <si>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</si>
  <si>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</si>
  <si>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</si>
  <si>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</si>
  <si>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</si>
  <si>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</si>
  <si>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</si>
  <si>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</si>
  <si>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</si>
  <si>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</si>
  <si>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</si>
  <si>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</si>
  <si>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</si>
  <si>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</si>
  <si>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</si>
  <si>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</si>
  <si>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</si>
  <si>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</si>
  <si>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</si>
  <si>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</si>
  <si>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</si>
  <si>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</si>
  <si>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</si>
  <si>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</si>
  <si>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</si>
  <si>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</si>
  <si>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</si>
  <si>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</si>
  <si>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</si>
  <si>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</si>
  <si>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</si>
  <si>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</si>
  <si>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</si>
  <si>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</si>
  <si>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</si>
  <si>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</si>
  <si>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</si>
  <si>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</si>
  <si>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</si>
  <si>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</si>
  <si>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</si>
  <si>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</si>
  <si>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</si>
  <si>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</si>
  <si>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</si>
  <si>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</si>
  <si>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</si>
  <si>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</si>
  <si>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</si>
  <si>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</si>
  <si>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</si>
  <si>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</si>
  <si>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</si>
  <si>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</si>
  <si>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</si>
  <si>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</si>
  <si>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</si>
  <si>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</si>
  <si>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</si>
  <si>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</si>
  <si>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</si>
  <si>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</si>
  <si>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</si>
  <si>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</si>
  <si>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</si>
  <si>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</si>
  <si>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</si>
  <si>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</si>
  <si>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</si>
  <si>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</si>
  <si>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</si>
  <si>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</si>
  <si>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</si>
  <si>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</si>
  <si>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</si>
  <si>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</si>
  <si>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</si>
  <si>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</si>
  <si>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</si>
  <si>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</si>
  <si>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</si>
  <si>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</si>
  <si>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</si>
  <si>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</si>
  <si>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</si>
  <si>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</si>
  <si>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</si>
  <si>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</si>
  <si>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</si>
  <si>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</si>
  <si>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</si>
  <si>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</si>
  <si>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</si>
  <si>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</si>
  <si>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</si>
  <si>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</si>
  <si>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</si>
  <si>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</si>
  <si>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</si>
  <si>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</si>
  <si>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</si>
  <si>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</si>
  <si>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</si>
  <si>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</si>
  <si>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</si>
  <si>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</si>
  <si>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</si>
  <si>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</si>
  <si>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</si>
  <si>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</si>
  <si>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</si>
  <si>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</si>
  <si>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</si>
  <si>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</si>
  <si>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</si>
  <si>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</si>
  <si>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</si>
  <si>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</si>
  <si>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</si>
  <si>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</si>
  <si>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</si>
  <si>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</si>
  <si>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</si>
  <si>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</si>
  <si>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</si>
  <si>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</si>
  <si>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</si>
  <si>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</si>
  <si>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</si>
  <si>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</si>
  <si>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</si>
  <si>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</si>
  <si>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</si>
  <si>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</si>
  <si>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</si>
  <si>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</si>
  <si>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</si>
  <si>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</si>
  <si>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</si>
  <si>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</si>
  <si>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</si>
  <si>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</si>
  <si>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</si>
  <si>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</si>
  <si>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</si>
  <si>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</si>
  <si>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</si>
  <si>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</si>
  <si>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</si>
  <si>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</si>
  <si>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</si>
  <si>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</si>
  <si>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</si>
  <si>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</si>
  <si>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</si>
  <si>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</si>
  <si>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</si>
  <si>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</si>
  <si>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</si>
  <si>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</si>
  <si>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</si>
  <si>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</si>
  <si>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</si>
  <si>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</si>
  <si>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</si>
  <si>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</si>
  <si>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</si>
  <si>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</si>
  <si>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</si>
  <si>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</si>
  <si>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</si>
  <si>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</si>
  <si>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</si>
  <si>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</si>
  <si>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</si>
  <si>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</si>
  <si>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</si>
  <si>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</si>
  <si>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</si>
  <si>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</si>
  <si>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</si>
  <si>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</si>
  <si>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</si>
  <si>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</si>
  <si>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</si>
  <si>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</si>
  <si>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</si>
  <si>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</si>
  <si>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</si>
  <si>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</si>
  <si>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</si>
  <si>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</si>
  <si>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</si>
  <si>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</si>
  <si>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</si>
  <si>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</si>
  <si>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</si>
  <si>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</si>
  <si>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</si>
  <si>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</si>
  <si>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2019. ÉVI ZÁRSZÁMADÁSÁNAK PÉNZÜGYI MÉRLEGE</t>
  </si>
  <si>
    <t>1. tájékoztató tábla</t>
  </si>
  <si>
    <t>Többéves kihatással járó döntésekből származó kötzelezettségek célok szerinti, évenkénti bontásban</t>
  </si>
  <si>
    <t>2. tájékoztató tábla</t>
  </si>
  <si>
    <t>2020.</t>
  </si>
  <si>
    <t>2021.</t>
  </si>
  <si>
    <t>2021. után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</si>
  <si>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</si>
  <si>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</si>
  <si>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</si>
  <si>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</si>
  <si>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</si>
  <si>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</si>
  <si>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</si>
  <si>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</si>
  <si>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</si>
  <si>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</si>
  <si>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</si>
  <si>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</si>
  <si>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</si>
  <si>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</si>
  <si>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</si>
  <si>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</si>
  <si>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</si>
  <si>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</si>
  <si>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</si>
  <si>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</si>
  <si>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</si>
  <si>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</si>
  <si>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</si>
  <si>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</si>
  <si>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</si>
  <si>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</si>
  <si>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</si>
  <si>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</si>
  <si>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</si>
  <si>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</si>
  <si>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</si>
  <si>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</si>
  <si>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</si>
  <si>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</si>
  <si>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</si>
  <si>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</si>
  <si>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</si>
  <si>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</si>
  <si>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</si>
  <si>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</si>
  <si>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</si>
  <si>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</si>
  <si>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</si>
  <si>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</si>
  <si>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</si>
  <si>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</si>
  <si>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</si>
  <si>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</si>
  <si>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</si>
  <si>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</si>
  <si>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</si>
  <si>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</si>
  <si>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</si>
  <si>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</si>
  <si>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</si>
  <si>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</si>
  <si>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</si>
  <si>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</si>
  <si>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</si>
  <si>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</si>
  <si>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</si>
  <si>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</si>
  <si>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2019.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</si>
  <si>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</si>
  <si>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</si>
  <si>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</si>
  <si>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</si>
  <si>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</si>
  <si>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</si>
  <si>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</si>
  <si>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</si>
  <si>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</si>
  <si>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</si>
  <si>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</si>
  <si>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</si>
  <si>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</si>
  <si>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</si>
  <si>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</si>
  <si>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</si>
  <si>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</si>
  <si>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</si>
  <si>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</si>
  <si>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2018. évi teljesítés</t>
  </si>
  <si>
    <t>Hitel, kölcsön állomány 2018. dec.31-én</t>
  </si>
  <si>
    <t>2020. után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</si>
  <si>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</si>
  <si>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</si>
  <si>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</si>
  <si>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</si>
  <si>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Szalánta Községi Önkormányzat</t>
  </si>
  <si>
    <t>Szalántai Közös Önkormányzati Hivatal</t>
  </si>
  <si>
    <t>Magánszemélyek kommunális adója</t>
  </si>
  <si>
    <t>4.2</t>
  </si>
  <si>
    <t>4.5</t>
  </si>
  <si>
    <t>4.8.</t>
  </si>
  <si>
    <t xml:space="preserve">Építményadó </t>
  </si>
  <si>
    <t>Telekadó</t>
  </si>
  <si>
    <t>Államháztartáson belüli megelőlegezés visszafizatése</t>
  </si>
  <si>
    <t>Közművagyon 2018. évi rekonstrukciós munkálatai</t>
  </si>
  <si>
    <t>bevételei, kiadási, hozzájárulások</t>
  </si>
  <si>
    <t xml:space="preserve">EU-s projekt neve, azonosítója: </t>
  </si>
  <si>
    <t>EFOP-1.5.2-16-2017-00037, "Humán kapacitások fejlesztése térségi szemléletben a Pécsi Kistésrségben"</t>
  </si>
  <si>
    <t>Támogatás</t>
  </si>
  <si>
    <t>2sz.melléklet I.1/c</t>
  </si>
  <si>
    <t>Hunyadi Sportegyesület Szalánta</t>
  </si>
  <si>
    <t>Római Katolikus Egyház Szalánta</t>
  </si>
  <si>
    <t>Marica Kulturális Egyesület</t>
  </si>
  <si>
    <t>Hunyadi Sporthorgász Egyesület</t>
  </si>
  <si>
    <t>Szalánta Polgárőr Egyesület</t>
  </si>
  <si>
    <t>"Holnapért" Iskolai Alapítvány</t>
  </si>
  <si>
    <t>"Fogd a szalántai kezét" Alapítvány</t>
  </si>
  <si>
    <t>Szalántai Csillagok Egyesület</t>
  </si>
  <si>
    <t>Baranya Megyei Falugondnokság</t>
  </si>
  <si>
    <t>Jó tanulók ajándékozása</t>
  </si>
  <si>
    <t>működési célú támogatás</t>
  </si>
  <si>
    <t>jutalmazás</t>
  </si>
  <si>
    <t>Tettye Forrásház Zrt.</t>
  </si>
  <si>
    <t>TOP-1.2.1-16-BA2-2017-00001, "Mecsektől a Tenkesig" - turisztikai kerékpárút</t>
  </si>
  <si>
    <t>Önkormányzati Hivatal: kisértékű eszközök beszerzése</t>
  </si>
  <si>
    <t>EFOP-1.5.2-16-2017 pályázatból eszközbeszerzés</t>
  </si>
  <si>
    <t>Óvoda: játék és egyéb eszközbeszerzés</t>
  </si>
  <si>
    <t>Idösek klubja:  gáztűzhely beszerzése</t>
  </si>
  <si>
    <t>Közmunkaprogram: kisértékű eszközök beszerzése</t>
  </si>
  <si>
    <t>Orvosi rendelő: villanykandaló beszerzése</t>
  </si>
  <si>
    <t>Szalántai Óvoda tűzvédelmi rendszer kiépítése</t>
  </si>
  <si>
    <t>Informatikai eszköz felújítása</t>
  </si>
  <si>
    <t>2019. évi eredeti előirányzat BEVÉTELEK</t>
  </si>
  <si>
    <t>2019. ÉVI ZÁRSZÁMADSÁS</t>
  </si>
  <si>
    <t>2 db szavazófülke készítettése + függöny</t>
  </si>
  <si>
    <t>2019. évi általános működés és ágazati feladatok támogatásának alakulása jogcímenként</t>
  </si>
  <si>
    <t>2018. évi tény</t>
  </si>
  <si>
    <t>2019. évi</t>
  </si>
  <si>
    <t>Adósság állomány alakulása lejárat, eszközök, bel- és külföldi hitelezők szerinti bontásban
2019. december 31-én</t>
  </si>
  <si>
    <t>A 2019. évi céljelleggel juttatott támogatások felhasználásáról</t>
  </si>
  <si>
    <t>Szalántai Ugrókötél Egyesület</t>
  </si>
  <si>
    <t xml:space="preserve">  Pécsi Többcélú Agglomeréciós Társulás </t>
  </si>
  <si>
    <t>EFOP-1.5.2-16-2017 - ösztöndíj</t>
  </si>
  <si>
    <t>Orsós Zoltán szalántai lakos</t>
  </si>
  <si>
    <t>ház vásárlás támogatása</t>
  </si>
  <si>
    <t>2019. év</t>
  </si>
  <si>
    <t>kötelezettségek és részesedések alakulása 2019-ban</t>
  </si>
  <si>
    <t>2019. évi ZÁRSZÁMADÁSÁNAK PÉNZÜGYI MÉRLEGE</t>
  </si>
  <si>
    <t>Önkormányzati Hivatal - egyéb  eszközbeszerzés</t>
  </si>
  <si>
    <t>2018. évi C.
törvény 2. sz. melléklete száma</t>
  </si>
  <si>
    <t>Pénzkészlet 2019. január 1-jén
Ebből:</t>
  </si>
  <si>
    <t>Záró pénzkészlet 2019. december 31-én
Ebből:</t>
  </si>
  <si>
    <t>2sz.melléklet I.1/a</t>
  </si>
  <si>
    <t>Hivatal működéséhez kapott támogatás</t>
  </si>
  <si>
    <t>2sz.melléklet I.1/ba</t>
  </si>
  <si>
    <t>Zöldterület gazdálkodás</t>
  </si>
  <si>
    <t>2sz.melléklet I.1/bb</t>
  </si>
  <si>
    <t>Közvilágítás</t>
  </si>
  <si>
    <t>2sz.melléklet I.1/bc</t>
  </si>
  <si>
    <t>Köztemető fenntartás</t>
  </si>
  <si>
    <t>2sz.melléklet I.1/bd</t>
  </si>
  <si>
    <t>Közutak fenntartása</t>
  </si>
  <si>
    <t>2sz.melléklet I.1/b</t>
  </si>
  <si>
    <t>Település üzemeltetéséhez kapcsolódó feladatok</t>
  </si>
  <si>
    <t>Egyéb önkormányzati feladatok támogatása</t>
  </si>
  <si>
    <t>Beszámítás</t>
  </si>
  <si>
    <t>2sz.melléklet I.1/d</t>
  </si>
  <si>
    <t>Lakott külterülettel kapcsolatos feléadat támogatása</t>
  </si>
  <si>
    <t>2sz.melléklet I.6</t>
  </si>
  <si>
    <t>Polgármesteri illetmény támogatása</t>
  </si>
  <si>
    <t>Helyi önkormányzatok működésének általásnos támogatása</t>
  </si>
  <si>
    <t xml:space="preserve">2sz.melléklet II.1 (1) </t>
  </si>
  <si>
    <t>Óvodapedagógusok bértámogatása</t>
  </si>
  <si>
    <t xml:space="preserve">2sz.melléklet II.1 (2) </t>
  </si>
  <si>
    <t>Óvodapedagógus nevelő munkáját közvetleül segítők bértámogatása</t>
  </si>
  <si>
    <t xml:space="preserve">2sz.melléklet II.2 </t>
  </si>
  <si>
    <t>Óvodaműködés támogatása</t>
  </si>
  <si>
    <t>2sz.melléklet II.3.</t>
  </si>
  <si>
    <t>Társulás által fenntartott óvodába járó gyerek utaztatása</t>
  </si>
  <si>
    <t>2sz.melléklet II.4.a (1)</t>
  </si>
  <si>
    <t>Pedagógus II. kategóriába sorolt óvodapeg. kieg.tám.</t>
  </si>
  <si>
    <t>2sz.melléklet II.5. (1)</t>
  </si>
  <si>
    <t>Nemzetiségi pótlék</t>
  </si>
  <si>
    <t>Köznevelési támogatás összesen:</t>
  </si>
  <si>
    <t>2sz.melléklet III.2</t>
  </si>
  <si>
    <t>Települési önkormányzatok szociális feladatainak egyéb támogatása</t>
  </si>
  <si>
    <t>2sz.melléklet III.3.e</t>
  </si>
  <si>
    <t>Falugondnoki szolgálat</t>
  </si>
  <si>
    <t>2sz.melléklet III.5.a</t>
  </si>
  <si>
    <t>Gyermekétkeztetés bértámogatása</t>
  </si>
  <si>
    <t>2sz.melléklet III.5.b</t>
  </si>
  <si>
    <t>Gyermekétkeztetés üzemeltetési támogatása</t>
  </si>
  <si>
    <t>2sz.melléklet III.6</t>
  </si>
  <si>
    <t>Rászoruló gyerekek szünidei étkeztetésének támogatása</t>
  </si>
  <si>
    <t>Szociális ágazati pótlék</t>
  </si>
  <si>
    <t>2sz.melléklet IV.1</t>
  </si>
  <si>
    <t>Könyvtári,múzeumi feladatok támogatása</t>
  </si>
  <si>
    <t>Mindösszesen:</t>
  </si>
  <si>
    <t>Bértámogatás</t>
  </si>
  <si>
    <t>Működési célú kiegészítő támogatás - szociális célútűzifa</t>
  </si>
  <si>
    <t>Működési célú kiegészítő támogatás  - kiegyenlítő bérrendezési alapból kapott támogatás</t>
  </si>
  <si>
    <t>Előző évi elszámolásból származó bevétel</t>
  </si>
  <si>
    <t>VII.16.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</si>
</sst>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10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sz val="9"/>
      <name val="Arial"/>
      <family val="2"/>
    </font>
    <font>
      <sz val="7"/>
      <name val="Times New Roman CE"/>
      <family val="0"/>
    </font>
    <font>
      <b/>
      <sz val="7"/>
      <name val="Times New Roman CE"/>
      <family val="0"/>
    </font>
    <font>
      <i/>
      <sz val="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0" fillId="22" borderId="7" applyNumberFormat="0" applyFont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0" fontId="9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2">
    <xf numFmtId="0" fontId="0" fillId="0" borderId="0" xfId="0" applyAlignment="1">
      <alignment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1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/>
    </xf>
    <xf numFmtId="166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1" fillId="0" borderId="15" xfId="0" applyNumberFormat="1" applyFont="1" applyFill="1" applyBorder="1" applyAlignment="1" applyProtection="1">
      <alignment vertical="center" wrapText="1"/>
      <protection locked="0"/>
    </xf>
    <xf numFmtId="166" fontId="11" fillId="0" borderId="28" xfId="0" applyNumberFormat="1" applyFont="1" applyFill="1" applyBorder="1" applyAlignment="1" applyProtection="1">
      <alignment vertical="center" wrapText="1"/>
      <protection/>
    </xf>
    <xf numFmtId="166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12" fillId="33" borderId="23" xfId="0" applyNumberFormat="1" applyFont="1" applyFill="1" applyBorder="1" applyAlignment="1" applyProtection="1">
      <alignment vertical="center" wrapText="1"/>
      <protection/>
    </xf>
    <xf numFmtId="166" fontId="6" fillId="33" borderId="23" xfId="0" applyNumberFormat="1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6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31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9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6" fontId="13" fillId="0" borderId="11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6" fontId="12" fillId="0" borderId="27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/>
      <protection/>
    </xf>
    <xf numFmtId="166" fontId="12" fillId="0" borderId="26" xfId="0" applyNumberFormat="1" applyFont="1" applyFill="1" applyBorder="1" applyAlignment="1" applyProtection="1">
      <alignment vertical="center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7" xfId="0" applyFont="1" applyBorder="1" applyAlignment="1" applyProtection="1">
      <alignment horizontal="left" vertical="center" wrapText="1" indent="1"/>
      <protection/>
    </xf>
    <xf numFmtId="166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9" xfId="0" applyNumberForma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6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43" xfId="0" applyNumberFormat="1" applyFill="1" applyBorder="1" applyAlignment="1" applyProtection="1">
      <alignment horizontal="left" vertical="center" wrapText="1" indent="1"/>
      <protection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1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6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166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7" xfId="60" applyFont="1" applyFill="1" applyBorder="1" applyAlignment="1" applyProtection="1">
      <alignment horizontal="left" vertical="center" wrapText="1" indent="1"/>
      <protection/>
    </xf>
    <xf numFmtId="0" fontId="12" fillId="0" borderId="31" xfId="60" applyFont="1" applyFill="1" applyBorder="1" applyAlignment="1" applyProtection="1">
      <alignment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6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1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/>
    </xf>
    <xf numFmtId="166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0" fontId="6" fillId="0" borderId="50" xfId="60" applyFont="1" applyFill="1" applyBorder="1" applyAlignment="1" applyProtection="1">
      <alignment horizontal="center" vertical="center" wrapText="1"/>
      <protection/>
    </xf>
    <xf numFmtId="0" fontId="12" fillId="0" borderId="51" xfId="60" applyFont="1" applyFill="1" applyBorder="1" applyAlignment="1" applyProtection="1">
      <alignment horizontal="center" vertical="center" wrapText="1"/>
      <protection/>
    </xf>
    <xf numFmtId="166" fontId="12" fillId="0" borderId="52" xfId="60" applyNumberFormat="1" applyFont="1" applyFill="1" applyBorder="1" applyAlignment="1" applyProtection="1">
      <alignment horizontal="right" vertical="center" wrapText="1" indent="1"/>
      <protection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/>
    </xf>
    <xf numFmtId="166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2" xfId="60" applyFont="1" applyFill="1" applyBorder="1" applyAlignment="1" applyProtection="1">
      <alignment horizontal="center" vertical="center" wrapText="1"/>
      <protection/>
    </xf>
    <xf numFmtId="166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6" fontId="12" fillId="0" borderId="42" xfId="0" applyNumberFormat="1" applyFont="1" applyFill="1" applyBorder="1" applyAlignment="1">
      <alignment horizontal="center" vertical="center"/>
    </xf>
    <xf numFmtId="166" fontId="12" fillId="0" borderId="42" xfId="0" applyNumberFormat="1" applyFont="1" applyFill="1" applyBorder="1" applyAlignment="1">
      <alignment horizontal="center" vertical="center" wrapText="1"/>
    </xf>
    <xf numFmtId="166" fontId="12" fillId="0" borderId="55" xfId="0" applyNumberFormat="1" applyFont="1" applyFill="1" applyBorder="1" applyAlignment="1">
      <alignment horizontal="center" vertical="center"/>
    </xf>
    <xf numFmtId="166" fontId="12" fillId="0" borderId="56" xfId="0" applyNumberFormat="1" applyFont="1" applyFill="1" applyBorder="1" applyAlignment="1">
      <alignment horizontal="center" vertical="center"/>
    </xf>
    <xf numFmtId="166" fontId="12" fillId="0" borderId="56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left" vertical="center"/>
    </xf>
    <xf numFmtId="3" fontId="13" fillId="0" borderId="58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59" xfId="0" applyNumberFormat="1" applyFont="1" applyFill="1" applyBorder="1" applyAlignment="1" quotePrefix="1">
      <alignment horizontal="left" vertical="center" indent="1"/>
    </xf>
    <xf numFmtId="49" fontId="13" fillId="0" borderId="59" xfId="0" applyNumberFormat="1" applyFont="1" applyFill="1" applyBorder="1" applyAlignment="1">
      <alignment horizontal="left" vertical="center"/>
    </xf>
    <xf numFmtId="49" fontId="13" fillId="0" borderId="60" xfId="0" applyNumberFormat="1" applyFont="1" applyFill="1" applyBorder="1" applyAlignment="1" applyProtection="1">
      <alignment horizontal="lef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3" xfId="0" applyNumberFormat="1" applyFont="1" applyFill="1" applyBorder="1" applyAlignment="1" applyProtection="1">
      <alignment vertical="center"/>
      <protection locked="0"/>
    </xf>
    <xf numFmtId="49" fontId="12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0" xfId="0" applyNumberFormat="1" applyFont="1" applyFill="1" applyBorder="1" applyAlignment="1" applyProtection="1">
      <alignment vertical="center"/>
      <protection locked="0"/>
    </xf>
    <xf numFmtId="49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5" fontId="12" fillId="0" borderId="42" xfId="0" applyNumberFormat="1" applyFont="1" applyFill="1" applyBorder="1" applyAlignment="1">
      <alignment horizontal="left" vertical="center" wrapText="1" indent="1"/>
    </xf>
    <xf numFmtId="175" fontId="26" fillId="0" borderId="0" xfId="0" applyNumberFormat="1" applyFont="1" applyFill="1" applyBorder="1" applyAlignment="1">
      <alignment horizontal="left" vertical="center" wrapText="1"/>
    </xf>
    <xf numFmtId="166" fontId="12" fillId="0" borderId="42" xfId="0" applyNumberFormat="1" applyFont="1" applyFill="1" applyBorder="1" applyAlignment="1">
      <alignment horizontal="center" vertical="center" wrapText="1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42" xfId="0" applyNumberFormat="1" applyFont="1" applyFill="1" applyBorder="1" applyAlignment="1">
      <alignment horizontal="right" vertical="center" wrapText="1"/>
    </xf>
    <xf numFmtId="0" fontId="12" fillId="0" borderId="65" xfId="0" applyFont="1" applyFill="1" applyBorder="1" applyAlignment="1" applyProtection="1">
      <alignment horizontal="center" vertical="center" wrapText="1"/>
      <protection/>
    </xf>
    <xf numFmtId="166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2" xfId="0" applyFont="1" applyBorder="1" applyAlignment="1">
      <alignment vertical="center" wrapText="1"/>
    </xf>
    <xf numFmtId="0" fontId="3" fillId="0" borderId="37" xfId="0" applyFont="1" applyBorder="1" applyAlignment="1">
      <alignment horizontal="left" vertical="center"/>
    </xf>
    <xf numFmtId="0" fontId="3" fillId="0" borderId="66" xfId="0" applyFont="1" applyBorder="1" applyAlignment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7" xfId="60" applyFont="1" applyFill="1" applyBorder="1" applyAlignment="1" applyProtection="1">
      <alignment horizontal="center" vertical="center" wrapText="1"/>
      <protection locked="0"/>
    </xf>
    <xf numFmtId="166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6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 quotePrefix="1">
      <alignment horizontal="right" vertical="center" indent="1"/>
      <protection locked="0"/>
    </xf>
    <xf numFmtId="49" fontId="6" fillId="0" borderId="42" xfId="0" applyNumberFormat="1" applyFont="1" applyFill="1" applyBorder="1" applyAlignment="1" applyProtection="1">
      <alignment horizontal="right" vertical="center" indent="1"/>
      <protection locked="0"/>
    </xf>
    <xf numFmtId="166" fontId="11" fillId="0" borderId="0" xfId="0" applyNumberFormat="1" applyFont="1" applyFill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6" fontId="8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4" fillId="0" borderId="0" xfId="0" applyNumberFormat="1" applyFont="1" applyFill="1" applyAlignment="1" applyProtection="1">
      <alignment horizontal="right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68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4" fillId="0" borderId="0" xfId="0" applyNumberFormat="1" applyFont="1" applyFill="1" applyAlignment="1" applyProtection="1">
      <alignment horizontal="right" vertical="center"/>
      <protection locked="0"/>
    </xf>
    <xf numFmtId="166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166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5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67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166" fontId="13" fillId="34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6" fontId="13" fillId="34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166" fontId="20" fillId="0" borderId="30" xfId="60" applyNumberFormat="1" applyFont="1" applyFill="1" applyBorder="1" applyAlignment="1" applyProtection="1">
      <alignment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0" fontId="13" fillId="0" borderId="13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4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5" fillId="0" borderId="31" xfId="0" applyFont="1" applyBorder="1" applyAlignment="1" applyProtection="1">
      <alignment horizontal="left" vertical="center" wrapText="1"/>
      <protection/>
    </xf>
    <xf numFmtId="166" fontId="6" fillId="0" borderId="69" xfId="0" applyNumberFormat="1" applyFont="1" applyFill="1" applyBorder="1" applyAlignment="1" applyProtection="1">
      <alignment horizontal="centerContinuous" vertical="center"/>
      <protection/>
    </xf>
    <xf numFmtId="166" fontId="6" fillId="0" borderId="70" xfId="0" applyNumberFormat="1" applyFont="1" applyFill="1" applyBorder="1" applyAlignment="1" applyProtection="1">
      <alignment horizontal="centerContinuous" vertical="center"/>
      <protection/>
    </xf>
    <xf numFmtId="166" fontId="6" fillId="0" borderId="47" xfId="0" applyNumberFormat="1" applyFont="1" applyFill="1" applyBorder="1" applyAlignment="1" applyProtection="1">
      <alignment horizontal="centerContinuous" vertical="center"/>
      <protection/>
    </xf>
    <xf numFmtId="166" fontId="19" fillId="0" borderId="0" xfId="0" applyNumberFormat="1" applyFont="1" applyFill="1" applyAlignment="1">
      <alignment vertical="center"/>
    </xf>
    <xf numFmtId="166" fontId="6" fillId="0" borderId="71" xfId="0" applyNumberFormat="1" applyFont="1" applyFill="1" applyBorder="1" applyAlignment="1" applyProtection="1">
      <alignment horizontal="center" vertical="center"/>
      <protection/>
    </xf>
    <xf numFmtId="166" fontId="6" fillId="0" borderId="72" xfId="0" applyNumberFormat="1" applyFont="1" applyFill="1" applyBorder="1" applyAlignment="1" applyProtection="1">
      <alignment horizontal="center" vertical="center"/>
      <protection/>
    </xf>
    <xf numFmtId="166" fontId="6" fillId="0" borderId="67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>
      <alignment horizontal="center" vertical="center"/>
    </xf>
    <xf numFmtId="166" fontId="12" fillId="0" borderId="62" xfId="0" applyNumberFormat="1" applyFont="1" applyFill="1" applyBorder="1" applyAlignment="1" applyProtection="1">
      <alignment horizontal="center" vertical="center" wrapText="1"/>
      <protection/>
    </xf>
    <xf numFmtId="166" fontId="12" fillId="0" borderId="23" xfId="0" applyNumberFormat="1" applyFont="1" applyFill="1" applyBorder="1" applyAlignment="1" applyProtection="1">
      <alignment horizontal="center" vertical="center" wrapText="1"/>
      <protection/>
    </xf>
    <xf numFmtId="166" fontId="12" fillId="0" borderId="52" xfId="0" applyNumberFormat="1" applyFont="1" applyFill="1" applyBorder="1" applyAlignment="1" applyProtection="1">
      <alignment horizontal="center" vertical="center" wrapText="1"/>
      <protection/>
    </xf>
    <xf numFmtId="166" fontId="12" fillId="0" borderId="4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>
      <alignment horizontal="center" vertical="center" wrapText="1"/>
    </xf>
    <xf numFmtId="166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6" fontId="12" fillId="0" borderId="13" xfId="0" applyNumberFormat="1" applyFont="1" applyFill="1" applyBorder="1" applyAlignment="1" applyProtection="1">
      <alignment vertical="center" wrapText="1"/>
      <protection/>
    </xf>
    <xf numFmtId="166" fontId="12" fillId="0" borderId="69" xfId="0" applyNumberFormat="1" applyFont="1" applyFill="1" applyBorder="1" applyAlignment="1" applyProtection="1">
      <alignment vertical="center" wrapText="1"/>
      <protection/>
    </xf>
    <xf numFmtId="166" fontId="12" fillId="0" borderId="58" xfId="0" applyNumberFormat="1" applyFont="1" applyFill="1" applyBorder="1" applyAlignment="1" applyProtection="1">
      <alignment vertical="center" wrapText="1"/>
      <protection/>
    </xf>
    <xf numFmtId="166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38" xfId="0" applyNumberFormat="1" applyFont="1" applyFill="1" applyBorder="1" applyAlignment="1" applyProtection="1">
      <alignment vertical="center" wrapText="1"/>
      <protection locked="0"/>
    </xf>
    <xf numFmtId="166" fontId="13" fillId="0" borderId="40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vertical="center" wrapText="1"/>
      <protection/>
    </xf>
    <xf numFmtId="166" fontId="12" fillId="0" borderId="38" xfId="0" applyNumberFormat="1" applyFont="1" applyFill="1" applyBorder="1" applyAlignment="1" applyProtection="1">
      <alignment vertical="center" wrapText="1"/>
      <protection/>
    </xf>
    <xf numFmtId="166" fontId="12" fillId="0" borderId="40" xfId="0" applyNumberFormat="1" applyFont="1" applyFill="1" applyBorder="1" applyAlignment="1" applyProtection="1">
      <alignment vertical="center" wrapTex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6" fontId="12" fillId="0" borderId="10" xfId="0" applyNumberFormat="1" applyFont="1" applyFill="1" applyBorder="1" applyAlignment="1" applyProtection="1">
      <alignment vertical="center" wrapText="1"/>
      <protection/>
    </xf>
    <xf numFmtId="166" fontId="12" fillId="0" borderId="45" xfId="0" applyNumberFormat="1" applyFont="1" applyFill="1" applyBorder="1" applyAlignment="1" applyProtection="1">
      <alignment vertical="center" wrapText="1"/>
      <protection/>
    </xf>
    <xf numFmtId="1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10" xfId="0" applyNumberFormat="1" applyFont="1" applyFill="1" applyBorder="1" applyAlignment="1" applyProtection="1">
      <alignment vertical="center" wrapText="1"/>
      <protection locked="0"/>
    </xf>
    <xf numFmtId="166" fontId="13" fillId="0" borderId="45" xfId="0" applyNumberFormat="1" applyFont="1" applyFill="1" applyBorder="1" applyAlignment="1" applyProtection="1">
      <alignment vertical="center" wrapText="1"/>
      <protection locked="0"/>
    </xf>
    <xf numFmtId="166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2" xfId="0" applyNumberFormat="1" applyFont="1" applyFill="1" applyBorder="1" applyAlignment="1" applyProtection="1">
      <alignment vertical="center" wrapText="1"/>
      <protection/>
    </xf>
    <xf numFmtId="166" fontId="12" fillId="0" borderId="23" xfId="0" applyNumberFormat="1" applyFont="1" applyFill="1" applyBorder="1" applyAlignment="1" applyProtection="1">
      <alignment vertical="center" wrapText="1"/>
      <protection/>
    </xf>
    <xf numFmtId="166" fontId="12" fillId="0" borderId="52" xfId="0" applyNumberFormat="1" applyFont="1" applyFill="1" applyBorder="1" applyAlignment="1" applyProtection="1">
      <alignment vertical="center" wrapText="1"/>
      <protection/>
    </xf>
    <xf numFmtId="166" fontId="12" fillId="0" borderId="42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Alignment="1">
      <alignment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2" xfId="0" applyNumberFormat="1" applyFont="1" applyFill="1" applyBorder="1" applyAlignment="1">
      <alignment horizontal="right" vertical="center" wrapText="1" indent="1"/>
    </xf>
    <xf numFmtId="166" fontId="12" fillId="0" borderId="42" xfId="0" applyNumberFormat="1" applyFont="1" applyFill="1" applyBorder="1" applyAlignment="1">
      <alignment horizontal="left" vertical="center" wrapText="1" indent="1"/>
    </xf>
    <xf numFmtId="166" fontId="0" fillId="33" borderId="42" xfId="0" applyNumberFormat="1" applyFont="1" applyFill="1" applyBorder="1" applyAlignment="1">
      <alignment horizontal="left" vertical="center" wrapText="1" indent="2"/>
    </xf>
    <xf numFmtId="166" fontId="0" fillId="33" borderId="32" xfId="0" applyNumberFormat="1" applyFont="1" applyFill="1" applyBorder="1" applyAlignment="1">
      <alignment horizontal="left" vertical="center" wrapText="1" indent="2"/>
    </xf>
    <xf numFmtId="166" fontId="12" fillId="0" borderId="22" xfId="0" applyNumberFormat="1" applyFont="1" applyFill="1" applyBorder="1" applyAlignment="1">
      <alignment vertical="center" wrapText="1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6" xfId="0" applyNumberFormat="1" applyFont="1" applyFill="1" applyBorder="1" applyAlignment="1">
      <alignment vertical="center" wrapText="1"/>
    </xf>
    <xf numFmtId="166" fontId="12" fillId="0" borderId="17" xfId="0" applyNumberFormat="1" applyFont="1" applyFill="1" applyBorder="1" applyAlignment="1">
      <alignment horizontal="right" vertical="center" wrapText="1" indent="1"/>
    </xf>
    <xf numFmtId="166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40" xfId="0" applyNumberFormat="1" applyFont="1" applyFill="1" applyBorder="1" applyAlignment="1" applyProtection="1">
      <alignment horizontal="right" vertical="center" wrapText="1" indent="2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Fill="1" applyBorder="1" applyAlignment="1" applyProtection="1">
      <alignment vertical="center" wrapText="1"/>
      <protection locked="0"/>
    </xf>
    <xf numFmtId="166" fontId="13" fillId="0" borderId="27" xfId="0" applyNumberFormat="1" applyFont="1" applyFill="1" applyBorder="1" applyAlignment="1" applyProtection="1">
      <alignment vertical="center" wrapText="1"/>
      <protection locked="0"/>
    </xf>
    <xf numFmtId="166" fontId="0" fillId="33" borderId="42" xfId="0" applyNumberFormat="1" applyFont="1" applyFill="1" applyBorder="1" applyAlignment="1">
      <alignment horizontal="right" vertical="center" wrapText="1" indent="2"/>
    </xf>
    <xf numFmtId="166" fontId="0" fillId="33" borderId="32" xfId="0" applyNumberFormat="1" applyFont="1" applyFill="1" applyBorder="1" applyAlignment="1">
      <alignment horizontal="right" vertical="center" wrapText="1" indent="2"/>
    </xf>
    <xf numFmtId="166" fontId="13" fillId="0" borderId="38" xfId="0" applyNumberFormat="1" applyFont="1" applyFill="1" applyBorder="1" applyAlignment="1" applyProtection="1">
      <alignment vertical="center"/>
      <protection locked="0"/>
    </xf>
    <xf numFmtId="166" fontId="12" fillId="0" borderId="38" xfId="0" applyNumberFormat="1" applyFont="1" applyFill="1" applyBorder="1" applyAlignment="1" applyProtection="1">
      <alignment vertical="center"/>
      <protection/>
    </xf>
    <xf numFmtId="166" fontId="13" fillId="0" borderId="73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6" fontId="13" fillId="0" borderId="29" xfId="0" applyNumberFormat="1" applyFont="1" applyFill="1" applyBorder="1" applyAlignment="1" applyProtection="1">
      <alignment vertical="center"/>
      <protection locked="0"/>
    </xf>
    <xf numFmtId="166" fontId="13" fillId="0" borderId="72" xfId="0" applyNumberFormat="1" applyFont="1" applyFill="1" applyBorder="1" applyAlignment="1" applyProtection="1">
      <alignment vertical="center"/>
      <protection locked="0"/>
    </xf>
    <xf numFmtId="166" fontId="12" fillId="0" borderId="52" xfId="0" applyNumberFormat="1" applyFont="1" applyFill="1" applyBorder="1" applyAlignment="1" applyProtection="1">
      <alignment vertical="center"/>
      <protection/>
    </xf>
    <xf numFmtId="166" fontId="12" fillId="0" borderId="67" xfId="0" applyNumberFormat="1" applyFont="1" applyFill="1" applyBorder="1" applyAlignment="1" applyProtection="1">
      <alignment vertical="center"/>
      <protection/>
    </xf>
    <xf numFmtId="166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53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6" fontId="12" fillId="0" borderId="23" xfId="0" applyNumberFormat="1" applyFont="1" applyFill="1" applyBorder="1" applyAlignment="1">
      <alignment vertical="center" wrapText="1"/>
    </xf>
    <xf numFmtId="166" fontId="12" fillId="0" borderId="26" xfId="0" applyNumberFormat="1" applyFont="1" applyFill="1" applyBorder="1" applyAlignment="1">
      <alignment vertical="center" wrapText="1"/>
    </xf>
    <xf numFmtId="0" fontId="25" fillId="0" borderId="0" xfId="62" applyFill="1" applyProtection="1">
      <alignment/>
      <protection/>
    </xf>
    <xf numFmtId="0" fontId="31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 vertical="center"/>
      <protection/>
    </xf>
    <xf numFmtId="0" fontId="17" fillId="0" borderId="20" xfId="62" applyFont="1" applyFill="1" applyBorder="1" applyAlignment="1" applyProtection="1">
      <alignment vertical="center" wrapText="1"/>
      <protection/>
    </xf>
    <xf numFmtId="176" fontId="13" fillId="0" borderId="13" xfId="61" applyNumberFormat="1" applyFont="1" applyFill="1" applyBorder="1" applyAlignment="1" applyProtection="1">
      <alignment horizontal="center" vertical="center"/>
      <protection/>
    </xf>
    <xf numFmtId="177" fontId="34" fillId="0" borderId="13" xfId="62" applyNumberFormat="1" applyFont="1" applyFill="1" applyBorder="1" applyAlignment="1" applyProtection="1">
      <alignment horizontal="right" vertical="center" wrapText="1"/>
      <protection locked="0"/>
    </xf>
    <xf numFmtId="177" fontId="34" fillId="0" borderId="44" xfId="62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2" applyFill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vertical="center" wrapText="1"/>
      <protection/>
    </xf>
    <xf numFmtId="176" fontId="13" fillId="0" borderId="11" xfId="61" applyNumberFormat="1" applyFont="1" applyFill="1" applyBorder="1" applyAlignment="1" applyProtection="1">
      <alignment horizontal="center" vertical="center"/>
      <protection/>
    </xf>
    <xf numFmtId="177" fontId="34" fillId="0" borderId="11" xfId="62" applyNumberFormat="1" applyFont="1" applyFill="1" applyBorder="1" applyAlignment="1" applyProtection="1">
      <alignment horizontal="right" vertical="center" wrapText="1"/>
      <protection/>
    </xf>
    <xf numFmtId="177" fontId="34" fillId="0" borderId="27" xfId="62" applyNumberFormat="1" applyFont="1" applyFill="1" applyBorder="1" applyAlignment="1" applyProtection="1">
      <alignment horizontal="right" vertical="center" wrapText="1"/>
      <protection/>
    </xf>
    <xf numFmtId="0" fontId="35" fillId="0" borderId="17" xfId="62" applyFont="1" applyFill="1" applyBorder="1" applyAlignment="1" applyProtection="1">
      <alignment horizontal="left" vertical="center" wrapText="1" indent="1"/>
      <protection/>
    </xf>
    <xf numFmtId="177" fontId="36" fillId="0" borderId="11" xfId="62" applyNumberFormat="1" applyFont="1" applyFill="1" applyBorder="1" applyAlignment="1" applyProtection="1">
      <alignment horizontal="right" vertical="center" wrapText="1"/>
      <protection locked="0"/>
    </xf>
    <xf numFmtId="177" fontId="36" fillId="0" borderId="27" xfId="62" applyNumberFormat="1" applyFont="1" applyFill="1" applyBorder="1" applyAlignment="1" applyProtection="1">
      <alignment horizontal="right" vertical="center" wrapText="1"/>
      <protection locked="0"/>
    </xf>
    <xf numFmtId="177" fontId="37" fillId="0" borderId="11" xfId="62" applyNumberFormat="1" applyFont="1" applyFill="1" applyBorder="1" applyAlignment="1" applyProtection="1">
      <alignment horizontal="right" vertical="center" wrapText="1"/>
      <protection locked="0"/>
    </xf>
    <xf numFmtId="177" fontId="37" fillId="0" borderId="27" xfId="62" applyNumberFormat="1" applyFont="1" applyFill="1" applyBorder="1" applyAlignment="1" applyProtection="1">
      <alignment horizontal="right" vertical="center" wrapText="1"/>
      <protection locked="0"/>
    </xf>
    <xf numFmtId="177" fontId="37" fillId="0" borderId="11" xfId="62" applyNumberFormat="1" applyFont="1" applyFill="1" applyBorder="1" applyAlignment="1" applyProtection="1">
      <alignment horizontal="right" vertical="center" wrapText="1"/>
      <protection/>
    </xf>
    <xf numFmtId="177" fontId="37" fillId="0" borderId="27" xfId="62" applyNumberFormat="1" applyFont="1" applyFill="1" applyBorder="1" applyAlignment="1" applyProtection="1">
      <alignment horizontal="right" vertical="center" wrapText="1"/>
      <protection/>
    </xf>
    <xf numFmtId="0" fontId="17" fillId="0" borderId="21" xfId="62" applyFont="1" applyFill="1" applyBorder="1" applyAlignment="1" applyProtection="1">
      <alignment vertical="center" wrapText="1"/>
      <protection/>
    </xf>
    <xf numFmtId="176" fontId="13" fillId="0" borderId="29" xfId="61" applyNumberFormat="1" applyFont="1" applyFill="1" applyBorder="1" applyAlignment="1" applyProtection="1">
      <alignment horizontal="center" vertical="center"/>
      <protection/>
    </xf>
    <xf numFmtId="177" fontId="34" fillId="0" borderId="29" xfId="62" applyNumberFormat="1" applyFont="1" applyFill="1" applyBorder="1" applyAlignment="1" applyProtection="1">
      <alignment horizontal="right" vertical="center" wrapText="1"/>
      <protection/>
    </xf>
    <xf numFmtId="177" fontId="34" fillId="0" borderId="67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5" fillId="0" borderId="0" xfId="62" applyNumberFormat="1" applyFont="1" applyFill="1" applyProtection="1">
      <alignment/>
      <protection/>
    </xf>
    <xf numFmtId="3" fontId="25" fillId="0" borderId="0" xfId="62" applyNumberFormat="1" applyFont="1" applyFill="1" applyAlignment="1" applyProtection="1">
      <alignment horizontal="center"/>
      <protection/>
    </xf>
    <xf numFmtId="0" fontId="25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6" fontId="13" fillId="0" borderId="12" xfId="61" applyNumberFormat="1" applyFont="1" applyFill="1" applyBorder="1" applyAlignment="1" applyProtection="1">
      <alignment horizontal="center" vertical="center"/>
      <protection/>
    </xf>
    <xf numFmtId="178" fontId="13" fillId="0" borderId="74" xfId="61" applyNumberFormat="1" applyFont="1" applyFill="1" applyBorder="1" applyAlignment="1" applyProtection="1">
      <alignment vertical="center"/>
      <protection locked="0"/>
    </xf>
    <xf numFmtId="178" fontId="13" fillId="0" borderId="27" xfId="61" applyNumberFormat="1" applyFont="1" applyFill="1" applyBorder="1" applyAlignment="1" applyProtection="1">
      <alignment vertical="center"/>
      <protection locked="0"/>
    </xf>
    <xf numFmtId="178" fontId="12" fillId="0" borderId="27" xfId="61" applyNumberFormat="1" applyFont="1" applyFill="1" applyBorder="1" applyAlignment="1" applyProtection="1">
      <alignment vertical="center"/>
      <protection/>
    </xf>
    <xf numFmtId="178" fontId="12" fillId="0" borderId="2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12" fillId="0" borderId="21" xfId="61" applyFont="1" applyFill="1" applyBorder="1" applyAlignment="1" applyProtection="1">
      <alignment horizontal="left" vertical="center" wrapText="1"/>
      <protection/>
    </xf>
    <xf numFmtId="178" fontId="12" fillId="0" borderId="67" xfId="61" applyNumberFormat="1" applyFont="1" applyFill="1" applyBorder="1" applyAlignment="1" applyProtection="1">
      <alignment vertical="center"/>
      <protection/>
    </xf>
    <xf numFmtId="0" fontId="25" fillId="0" borderId="0" xfId="62" applyFont="1" applyFill="1" applyAlignment="1" applyProtection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25" fillId="0" borderId="0" xfId="62" applyFill="1">
      <alignment/>
      <protection/>
    </xf>
    <xf numFmtId="0" fontId="15" fillId="0" borderId="24" xfId="62" applyFont="1" applyFill="1" applyBorder="1" applyAlignment="1">
      <alignment horizontal="center" vertical="center"/>
      <protection/>
    </xf>
    <xf numFmtId="0" fontId="20" fillId="0" borderId="25" xfId="61" applyFont="1" applyFill="1" applyBorder="1" applyAlignment="1" applyProtection="1">
      <alignment horizontal="center" vertical="center" textRotation="90"/>
      <protection/>
    </xf>
    <xf numFmtId="0" fontId="15" fillId="0" borderId="25" xfId="62" applyFont="1" applyFill="1" applyBorder="1" applyAlignment="1">
      <alignment horizontal="center" vertical="center" wrapText="1"/>
      <protection/>
    </xf>
    <xf numFmtId="0" fontId="15" fillId="0" borderId="75" xfId="62" applyFont="1" applyFill="1" applyBorder="1" applyAlignment="1">
      <alignment horizontal="center" vertical="center" wrapText="1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3" xfId="62" applyFont="1" applyFill="1" applyBorder="1" applyAlignment="1">
      <alignment horizontal="center" vertical="center" wrapText="1"/>
      <protection/>
    </xf>
    <xf numFmtId="0" fontId="15" fillId="0" borderId="26" xfId="62" applyFont="1" applyFill="1" applyBorder="1" applyAlignment="1">
      <alignment horizontal="center" vertical="center" wrapText="1"/>
      <protection/>
    </xf>
    <xf numFmtId="0" fontId="16" fillId="0" borderId="17" xfId="62" applyFont="1" applyFill="1" applyBorder="1" applyProtection="1">
      <alignment/>
      <protection locked="0"/>
    </xf>
    <xf numFmtId="0" fontId="16" fillId="0" borderId="12" xfId="62" applyFont="1" applyFill="1" applyBorder="1" applyAlignment="1">
      <alignment horizontal="right" indent="1"/>
      <protection/>
    </xf>
    <xf numFmtId="3" fontId="16" fillId="0" borderId="12" xfId="62" applyNumberFormat="1" applyFont="1" applyFill="1" applyBorder="1" applyProtection="1">
      <alignment/>
      <protection locked="0"/>
    </xf>
    <xf numFmtId="3" fontId="16" fillId="0" borderId="74" xfId="62" applyNumberFormat="1" applyFont="1" applyFill="1" applyBorder="1" applyProtection="1">
      <alignment/>
      <protection locked="0"/>
    </xf>
    <xf numFmtId="0" fontId="16" fillId="0" borderId="11" xfId="62" applyFont="1" applyFill="1" applyBorder="1" applyAlignment="1">
      <alignment horizontal="right" indent="1"/>
      <protection/>
    </xf>
    <xf numFmtId="3" fontId="16" fillId="0" borderId="11" xfId="62" applyNumberFormat="1" applyFont="1" applyFill="1" applyBorder="1" applyProtection="1">
      <alignment/>
      <protection locked="0"/>
    </xf>
    <xf numFmtId="3" fontId="16" fillId="0" borderId="27" xfId="62" applyNumberFormat="1" applyFont="1" applyFill="1" applyBorder="1" applyProtection="1">
      <alignment/>
      <protection locked="0"/>
    </xf>
    <xf numFmtId="0" fontId="16" fillId="0" borderId="19" xfId="62" applyFont="1" applyFill="1" applyBorder="1" applyProtection="1">
      <alignment/>
      <protection locked="0"/>
    </xf>
    <xf numFmtId="0" fontId="16" fillId="0" borderId="15" xfId="62" applyFont="1" applyFill="1" applyBorder="1" applyAlignment="1">
      <alignment horizontal="right" indent="1"/>
      <protection/>
    </xf>
    <xf numFmtId="3" fontId="16" fillId="0" borderId="15" xfId="62" applyNumberFormat="1" applyFont="1" applyFill="1" applyBorder="1" applyProtection="1">
      <alignment/>
      <protection locked="0"/>
    </xf>
    <xf numFmtId="3" fontId="16" fillId="0" borderId="28" xfId="62" applyNumberFormat="1" applyFont="1" applyFill="1" applyBorder="1" applyProtection="1">
      <alignment/>
      <protection locked="0"/>
    </xf>
    <xf numFmtId="0" fontId="17" fillId="0" borderId="22" xfId="62" applyFont="1" applyFill="1" applyBorder="1" applyProtection="1">
      <alignment/>
      <protection locked="0"/>
    </xf>
    <xf numFmtId="0" fontId="16" fillId="0" borderId="23" xfId="62" applyFont="1" applyFill="1" applyBorder="1" applyAlignment="1">
      <alignment horizontal="right" indent="1"/>
      <protection/>
    </xf>
    <xf numFmtId="3" fontId="16" fillId="0" borderId="23" xfId="62" applyNumberFormat="1" applyFont="1" applyFill="1" applyBorder="1" applyProtection="1">
      <alignment/>
      <protection locked="0"/>
    </xf>
    <xf numFmtId="178" fontId="12" fillId="0" borderId="26" xfId="61" applyNumberFormat="1" applyFont="1" applyFill="1" applyBorder="1" applyAlignment="1" applyProtection="1">
      <alignment vertical="center"/>
      <protection/>
    </xf>
    <xf numFmtId="0" fontId="16" fillId="0" borderId="18" xfId="62" applyFont="1" applyFill="1" applyBorder="1" applyProtection="1">
      <alignment/>
      <protection locked="0"/>
    </xf>
    <xf numFmtId="3" fontId="16" fillId="0" borderId="76" xfId="62" applyNumberFormat="1" applyFont="1" applyFill="1" applyBorder="1">
      <alignment/>
      <protection/>
    </xf>
    <xf numFmtId="0" fontId="38" fillId="0" borderId="0" xfId="62" applyFont="1" applyFill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/>
      <protection/>
    </xf>
    <xf numFmtId="0" fontId="30" fillId="0" borderId="0" xfId="62" applyFont="1" applyFill="1" applyAlignment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168" fontId="41" fillId="0" borderId="74" xfId="42" applyNumberFormat="1" applyFont="1" applyBorder="1" applyAlignment="1" applyProtection="1">
      <alignment horizontal="center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9" fontId="41" fillId="0" borderId="11" xfId="70" applyFont="1" applyBorder="1" applyAlignment="1" applyProtection="1">
      <alignment horizontal="center" vertical="center" wrapText="1"/>
      <protection locked="0"/>
    </xf>
    <xf numFmtId="168" fontId="41" fillId="0" borderId="11" xfId="42" applyNumberFormat="1" applyFont="1" applyBorder="1" applyAlignment="1" applyProtection="1">
      <alignment horizontal="center" vertical="center" wrapText="1"/>
      <protection locked="0"/>
    </xf>
    <xf numFmtId="168" fontId="41" fillId="0" borderId="27" xfId="42" applyNumberFormat="1" applyFont="1" applyBorder="1" applyAlignment="1" applyProtection="1">
      <alignment horizontal="center" vertical="top" wrapText="1"/>
      <protection locked="0"/>
    </xf>
    <xf numFmtId="0" fontId="39" fillId="35" borderId="23" xfId="0" applyFont="1" applyFill="1" applyBorder="1" applyAlignment="1" applyProtection="1">
      <alignment horizontal="center" vertical="top" wrapText="1"/>
      <protection/>
    </xf>
    <xf numFmtId="168" fontId="41" fillId="0" borderId="23" xfId="42" applyNumberFormat="1" applyFont="1" applyBorder="1" applyAlignment="1" applyProtection="1">
      <alignment horizontal="center" vertical="center" wrapText="1"/>
      <protection/>
    </xf>
    <xf numFmtId="168" fontId="41" fillId="0" borderId="26" xfId="42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2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3" fillId="0" borderId="29" xfId="0" applyFont="1" applyFill="1" applyBorder="1" applyAlignment="1">
      <alignment horizontal="left" vertical="center" indent="5"/>
    </xf>
    <xf numFmtId="166" fontId="20" fillId="0" borderId="30" xfId="6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horizontal="right" vertical="center"/>
      <protection locked="0"/>
    </xf>
    <xf numFmtId="0" fontId="6" fillId="0" borderId="29" xfId="60" applyFont="1" applyFill="1" applyBorder="1" applyAlignment="1" applyProtection="1">
      <alignment horizontal="center" vertical="center" wrapText="1"/>
      <protection locked="0"/>
    </xf>
    <xf numFmtId="0" fontId="12" fillId="0" borderId="22" xfId="60" applyFont="1" applyFill="1" applyBorder="1" applyAlignment="1" applyProtection="1">
      <alignment horizontal="center" vertical="center" wrapText="1"/>
      <protection locked="0"/>
    </xf>
    <xf numFmtId="0" fontId="12" fillId="0" borderId="23" xfId="60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center" vertical="center" wrapText="1"/>
      <protection locked="0"/>
    </xf>
    <xf numFmtId="166" fontId="6" fillId="0" borderId="72" xfId="0" applyNumberFormat="1" applyFont="1" applyFill="1" applyBorder="1" applyAlignment="1" applyProtection="1">
      <alignment horizontal="center" vertical="center"/>
      <protection locked="0"/>
    </xf>
    <xf numFmtId="166" fontId="6" fillId="0" borderId="29" xfId="0" applyNumberFormat="1" applyFont="1" applyFill="1" applyBorder="1" applyAlignment="1" applyProtection="1">
      <alignment horizontal="center" vertical="center"/>
      <protection locked="0"/>
    </xf>
    <xf numFmtId="166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5" fillId="0" borderId="0" xfId="62" applyFill="1" applyProtection="1">
      <alignment/>
      <protection locked="0"/>
    </xf>
    <xf numFmtId="0" fontId="31" fillId="0" borderId="0" xfId="62" applyFont="1" applyFill="1" applyProtection="1">
      <alignment/>
      <protection locked="0"/>
    </xf>
    <xf numFmtId="0" fontId="26" fillId="0" borderId="21" xfId="62" applyFont="1" applyFill="1" applyBorder="1" applyAlignment="1" applyProtection="1">
      <alignment horizontal="center" vertical="center" wrapText="1"/>
      <protection locked="0"/>
    </xf>
    <xf numFmtId="0" fontId="26" fillId="0" borderId="29" xfId="62" applyFont="1" applyFill="1" applyBorder="1" applyAlignment="1" applyProtection="1">
      <alignment horizontal="center" vertical="center" wrapText="1"/>
      <protection locked="0"/>
    </xf>
    <xf numFmtId="0" fontId="26" fillId="0" borderId="67" xfId="62" applyFont="1" applyFill="1" applyBorder="1" applyAlignment="1" applyProtection="1">
      <alignment horizontal="center" vertical="center" wrapText="1"/>
      <protection locked="0"/>
    </xf>
    <xf numFmtId="0" fontId="0" fillId="0" borderId="0" xfId="61" applyFill="1" applyAlignment="1" applyProtection="1">
      <alignment vertical="center" wrapText="1"/>
      <protection locked="0"/>
    </xf>
    <xf numFmtId="0" fontId="11" fillId="0" borderId="0" xfId="61" applyFont="1" applyFill="1" applyAlignment="1" applyProtection="1">
      <alignment horizontal="center" vertical="center"/>
      <protection locked="0"/>
    </xf>
    <xf numFmtId="0" fontId="0" fillId="0" borderId="0" xfId="61" applyFill="1" applyAlignment="1" applyProtection="1">
      <alignment vertical="center"/>
      <protection locked="0"/>
    </xf>
    <xf numFmtId="49" fontId="12" fillId="0" borderId="21" xfId="61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1" applyNumberFormat="1" applyFont="1" applyFill="1" applyBorder="1" applyAlignment="1" applyProtection="1">
      <alignment horizontal="center" vertical="center"/>
      <protection locked="0"/>
    </xf>
    <xf numFmtId="49" fontId="12" fillId="0" borderId="67" xfId="61" applyNumberFormat="1" applyFont="1" applyFill="1" applyBorder="1" applyAlignment="1" applyProtection="1">
      <alignment horizontal="center" vertical="center"/>
      <protection locked="0"/>
    </xf>
    <xf numFmtId="0" fontId="25" fillId="0" borderId="0" xfId="62" applyFill="1" applyAlignment="1">
      <alignment/>
      <protection/>
    </xf>
    <xf numFmtId="0" fontId="44" fillId="0" borderId="18" xfId="0" applyFont="1" applyBorder="1" applyAlignment="1" applyProtection="1">
      <alignment horizontal="center" vertical="top" wrapText="1"/>
      <protection/>
    </xf>
    <xf numFmtId="0" fontId="44" fillId="0" borderId="1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0" fontId="39" fillId="0" borderId="26" xfId="0" applyFont="1" applyBorder="1" applyAlignment="1" applyProtection="1">
      <alignment horizontal="center" vertical="center" wrapText="1"/>
      <protection locked="0"/>
    </xf>
    <xf numFmtId="179" fontId="0" fillId="0" borderId="27" xfId="0" applyNumberFormat="1" applyFont="1" applyFill="1" applyBorder="1" applyAlignment="1" applyProtection="1">
      <alignment horizontal="right" vertical="center"/>
      <protection locked="0"/>
    </xf>
    <xf numFmtId="179" fontId="0" fillId="0" borderId="28" xfId="0" applyNumberFormat="1" applyFont="1" applyFill="1" applyBorder="1" applyAlignment="1" applyProtection="1">
      <alignment horizontal="right" vertical="center"/>
      <protection locked="0"/>
    </xf>
    <xf numFmtId="179" fontId="0" fillId="0" borderId="67" xfId="0" applyNumberFormat="1" applyFont="1" applyFill="1" applyBorder="1" applyAlignment="1" applyProtection="1">
      <alignment horizontal="right" vertical="center"/>
      <protection locked="0"/>
    </xf>
    <xf numFmtId="179" fontId="3" fillId="0" borderId="44" xfId="0" applyNumberFormat="1" applyFont="1" applyFill="1" applyBorder="1" applyAlignment="1" applyProtection="1">
      <alignment horizontal="right" vertical="center"/>
      <protection/>
    </xf>
    <xf numFmtId="0" fontId="100" fillId="0" borderId="0" xfId="0" applyFont="1" applyAlignment="1">
      <alignment/>
    </xf>
    <xf numFmtId="0" fontId="100" fillId="0" borderId="0" xfId="0" applyFont="1" applyAlignment="1">
      <alignment horizontal="justify" vertical="top" wrapText="1"/>
    </xf>
    <xf numFmtId="0" fontId="101" fillId="36" borderId="0" xfId="0" applyFont="1" applyFill="1" applyAlignment="1">
      <alignment horizontal="center" vertical="center"/>
    </xf>
    <xf numFmtId="0" fontId="101" fillId="36" borderId="0" xfId="0" applyFont="1" applyFill="1" applyAlignment="1">
      <alignment horizontal="center" vertical="top" wrapText="1"/>
    </xf>
    <xf numFmtId="0" fontId="45" fillId="0" borderId="0" xfId="0" applyFont="1" applyAlignment="1">
      <alignment/>
    </xf>
    <xf numFmtId="0" fontId="90" fillId="0" borderId="0" xfId="46" applyAlignment="1" applyProtection="1">
      <alignment/>
      <protection/>
    </xf>
    <xf numFmtId="0" fontId="0" fillId="0" borderId="0" xfId="0" applyAlignment="1">
      <alignment horizontal="right"/>
    </xf>
    <xf numFmtId="166" fontId="102" fillId="0" borderId="0" xfId="0" applyNumberFormat="1" applyFont="1" applyFill="1" applyAlignment="1" applyProtection="1">
      <alignment horizontal="right" vertical="center" wrapText="1" indent="1"/>
      <protection/>
    </xf>
    <xf numFmtId="166" fontId="103" fillId="0" borderId="0" xfId="60" applyNumberFormat="1" applyFont="1" applyFill="1" applyProtection="1">
      <alignment/>
      <protection/>
    </xf>
    <xf numFmtId="166" fontId="103" fillId="0" borderId="0" xfId="60" applyNumberFormat="1" applyFont="1" applyFill="1" applyAlignment="1" applyProtection="1">
      <alignment horizontal="right" vertical="center" indent="1"/>
      <protection/>
    </xf>
    <xf numFmtId="0" fontId="28" fillId="0" borderId="0" xfId="0" applyFont="1" applyAlignment="1" applyProtection="1">
      <alignment horizontal="right" vertical="top"/>
      <protection locked="0"/>
    </xf>
    <xf numFmtId="0" fontId="4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6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 locked="0"/>
    </xf>
    <xf numFmtId="166" fontId="13" fillId="0" borderId="12" xfId="0" applyNumberFormat="1" applyFont="1" applyFill="1" applyBorder="1" applyAlignment="1" applyProtection="1">
      <alignment vertical="center" wrapText="1"/>
      <protection/>
    </xf>
    <xf numFmtId="166" fontId="13" fillId="0" borderId="74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0" fillId="37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9" fontId="3" fillId="0" borderId="74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 applyProtection="1">
      <alignment horizontal="right"/>
      <protection locked="0"/>
    </xf>
    <xf numFmtId="166" fontId="2" fillId="0" borderId="0" xfId="60" applyNumberFormat="1" applyFill="1" applyProtection="1">
      <alignment/>
      <protection/>
    </xf>
    <xf numFmtId="166" fontId="2" fillId="0" borderId="0" xfId="60" applyNumberFormat="1" applyFont="1" applyFill="1" applyAlignment="1" applyProtection="1">
      <alignment horizontal="right" vertical="center" indent="1"/>
      <protection/>
    </xf>
    <xf numFmtId="166" fontId="11" fillId="0" borderId="38" xfId="0" applyNumberFormat="1" applyFont="1" applyFill="1" applyBorder="1" applyAlignment="1" applyProtection="1">
      <alignment vertical="center" wrapText="1"/>
      <protection locked="0"/>
    </xf>
    <xf numFmtId="166" fontId="11" fillId="0" borderId="27" xfId="0" applyNumberFormat="1" applyFont="1" applyFill="1" applyBorder="1" applyAlignment="1" applyProtection="1">
      <alignment vertical="center" wrapText="1"/>
      <protection locked="0"/>
    </xf>
    <xf numFmtId="179" fontId="0" fillId="0" borderId="0" xfId="0" applyNumberFormat="1" applyFill="1" applyAlignment="1">
      <alignment/>
    </xf>
    <xf numFmtId="0" fontId="44" fillId="0" borderId="11" xfId="0" applyFont="1" applyBorder="1" applyAlignment="1" applyProtection="1">
      <alignment horizontal="left" vertical="top" wrapText="1"/>
      <protection locked="0"/>
    </xf>
    <xf numFmtId="9" fontId="44" fillId="0" borderId="11" xfId="70" applyFont="1" applyBorder="1" applyAlignment="1" applyProtection="1">
      <alignment horizontal="center" vertical="center" wrapText="1"/>
      <protection locked="0"/>
    </xf>
    <xf numFmtId="168" fontId="44" fillId="0" borderId="11" xfId="42" applyNumberFormat="1" applyFont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inden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Border="1" applyAlignment="1" applyProtection="1">
      <alignment horizontal="left" vertical="center" indent="1"/>
      <protection locked="0"/>
    </xf>
    <xf numFmtId="3" fontId="0" fillId="0" borderId="13" xfId="0" applyNumberFormat="1" applyFont="1" applyBorder="1" applyAlignment="1" applyProtection="1">
      <alignment horizontal="right" vertical="center" indent="1"/>
      <protection locked="0"/>
    </xf>
    <xf numFmtId="3" fontId="0" fillId="0" borderId="11" xfId="0" applyNumberFormat="1" applyFont="1" applyBorder="1" applyAlignment="1" applyProtection="1">
      <alignment horizontal="left" vertical="center" indent="1"/>
      <protection locked="0"/>
    </xf>
    <xf numFmtId="3" fontId="0" fillId="0" borderId="11" xfId="0" applyNumberFormat="1" applyFont="1" applyBorder="1" applyAlignment="1" applyProtection="1">
      <alignment horizontal="right" vertical="center" indent="1"/>
      <protection locked="0"/>
    </xf>
    <xf numFmtId="3" fontId="0" fillId="0" borderId="11" xfId="0" applyNumberFormat="1" applyFont="1" applyBorder="1" applyAlignment="1" applyProtection="1">
      <alignment horizontal="left" vertical="center" indent="1"/>
      <protection locked="0"/>
    </xf>
    <xf numFmtId="3" fontId="0" fillId="0" borderId="11" xfId="0" applyNumberFormat="1" applyFont="1" applyFill="1" applyBorder="1" applyAlignment="1" applyProtection="1">
      <alignment horizontal="right" vertical="center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21" xfId="0" applyFont="1" applyFill="1" applyBorder="1" applyAlignment="1">
      <alignment horizontal="right" vertical="center" indent="1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3" fontId="13" fillId="0" borderId="67" xfId="0" applyNumberFormat="1" applyFont="1" applyFill="1" applyBorder="1" applyAlignment="1" applyProtection="1">
      <alignment horizontal="right" vertical="center"/>
      <protection locked="0"/>
    </xf>
    <xf numFmtId="3" fontId="13" fillId="0" borderId="77" xfId="0" applyNumberFormat="1" applyFont="1" applyFill="1" applyBorder="1" applyAlignment="1" applyProtection="1">
      <alignment horizontal="right" vertical="center"/>
      <protection locked="0"/>
    </xf>
    <xf numFmtId="3" fontId="13" fillId="0" borderId="77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58" xfId="0" applyNumberFormat="1" applyFont="1" applyFill="1" applyBorder="1" applyAlignment="1">
      <alignment horizontal="right" vertical="center" wrapText="1"/>
    </xf>
    <xf numFmtId="10" fontId="12" fillId="0" borderId="58" xfId="0" applyNumberFormat="1" applyFont="1" applyFill="1" applyBorder="1" applyAlignment="1">
      <alignment horizontal="right" vertical="center" wrapText="1"/>
    </xf>
    <xf numFmtId="3" fontId="18" fillId="0" borderId="40" xfId="0" applyNumberFormat="1" applyFont="1" applyFill="1" applyBorder="1" applyAlignment="1" applyProtection="1">
      <alignment horizontal="right" vertical="center"/>
      <protection locked="0"/>
    </xf>
    <xf numFmtId="3" fontId="18" fillId="0" borderId="40" xfId="0" applyNumberFormat="1" applyFont="1" applyFill="1" applyBorder="1" applyAlignment="1" applyProtection="1">
      <alignment horizontal="right" vertical="center" wrapText="1"/>
      <protection locked="0"/>
    </xf>
    <xf numFmtId="166" fontId="12" fillId="0" borderId="40" xfId="0" applyNumberFormat="1" applyFont="1" applyFill="1" applyBorder="1" applyAlignment="1">
      <alignment horizontal="right" vertical="center" wrapText="1"/>
    </xf>
    <xf numFmtId="10" fontId="12" fillId="0" borderId="40" xfId="0" applyNumberFormat="1" applyFont="1" applyFill="1" applyBorder="1" applyAlignment="1">
      <alignment horizontal="right" vertical="center" wrapText="1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10" fontId="12" fillId="0" borderId="64" xfId="0" applyNumberFormat="1" applyFont="1" applyFill="1" applyBorder="1" applyAlignment="1">
      <alignment horizontal="right" vertical="center" wrapText="1"/>
    </xf>
    <xf numFmtId="3" fontId="12" fillId="0" borderId="42" xfId="0" applyNumberFormat="1" applyFont="1" applyFill="1" applyBorder="1" applyAlignment="1">
      <alignment vertical="center"/>
    </xf>
    <xf numFmtId="166" fontId="12" fillId="0" borderId="42" xfId="0" applyNumberFormat="1" applyFont="1" applyFill="1" applyBorder="1" applyAlignment="1">
      <alignment vertical="center"/>
    </xf>
    <xf numFmtId="10" fontId="13" fillId="0" borderId="42" xfId="0" applyNumberFormat="1" applyFont="1" applyFill="1" applyBorder="1" applyAlignment="1" applyProtection="1">
      <alignment vertical="center" wrapText="1"/>
      <protection locked="0"/>
    </xf>
    <xf numFmtId="166" fontId="12" fillId="0" borderId="77" xfId="0" applyNumberFormat="1" applyFont="1" applyFill="1" applyBorder="1" applyAlignment="1" applyProtection="1">
      <alignment horizontal="right" vertical="center" wrapText="1"/>
      <protection/>
    </xf>
    <xf numFmtId="166" fontId="12" fillId="0" borderId="40" xfId="0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Alignment="1">
      <alignment/>
    </xf>
    <xf numFmtId="49" fontId="53" fillId="0" borderId="57" xfId="0" applyNumberFormat="1" applyFont="1" applyFill="1" applyBorder="1" applyAlignment="1">
      <alignment horizontal="left" vertical="center"/>
    </xf>
    <xf numFmtId="3" fontId="53" fillId="0" borderId="77" xfId="0" applyNumberFormat="1" applyFont="1" applyFill="1" applyBorder="1" applyAlignment="1" applyProtection="1">
      <alignment horizontal="right" vertical="center"/>
      <protection locked="0"/>
    </xf>
    <xf numFmtId="3" fontId="53" fillId="0" borderId="77" xfId="0" applyNumberFormat="1" applyFont="1" applyFill="1" applyBorder="1" applyAlignment="1" applyProtection="1">
      <alignment horizontal="right" vertical="center" wrapText="1"/>
      <protection locked="0"/>
    </xf>
    <xf numFmtId="3" fontId="53" fillId="0" borderId="58" xfId="0" applyNumberFormat="1" applyFont="1" applyFill="1" applyBorder="1" applyAlignment="1" applyProtection="1">
      <alignment horizontal="right" vertical="center" wrapText="1"/>
      <protection locked="0"/>
    </xf>
    <xf numFmtId="166" fontId="54" fillId="0" borderId="58" xfId="0" applyNumberFormat="1" applyFont="1" applyFill="1" applyBorder="1" applyAlignment="1">
      <alignment horizontal="right" vertical="center" wrapText="1"/>
    </xf>
    <xf numFmtId="4" fontId="54" fillId="0" borderId="58" xfId="0" applyNumberFormat="1" applyFont="1" applyFill="1" applyBorder="1" applyAlignment="1">
      <alignment horizontal="right" vertical="center" wrapText="1"/>
    </xf>
    <xf numFmtId="49" fontId="55" fillId="0" borderId="59" xfId="0" applyNumberFormat="1" applyFont="1" applyFill="1" applyBorder="1" applyAlignment="1" quotePrefix="1">
      <alignment horizontal="left" vertical="center" indent="1"/>
    </xf>
    <xf numFmtId="3" fontId="55" fillId="0" borderId="40" xfId="0" applyNumberFormat="1" applyFont="1" applyFill="1" applyBorder="1" applyAlignment="1" applyProtection="1">
      <alignment horizontal="right" vertical="center"/>
      <protection locked="0"/>
    </xf>
    <xf numFmtId="3" fontId="55" fillId="0" borderId="40" xfId="0" applyNumberFormat="1" applyFont="1" applyFill="1" applyBorder="1" applyAlignment="1" applyProtection="1">
      <alignment horizontal="right" vertical="center" wrapText="1"/>
      <protection locked="0"/>
    </xf>
    <xf numFmtId="166" fontId="54" fillId="0" borderId="40" xfId="0" applyNumberFormat="1" applyFont="1" applyFill="1" applyBorder="1" applyAlignment="1">
      <alignment horizontal="right" vertical="center" wrapText="1"/>
    </xf>
    <xf numFmtId="4" fontId="54" fillId="0" borderId="40" xfId="0" applyNumberFormat="1" applyFont="1" applyFill="1" applyBorder="1" applyAlignment="1">
      <alignment horizontal="right" vertical="center" wrapText="1"/>
    </xf>
    <xf numFmtId="49" fontId="53" fillId="0" borderId="59" xfId="0" applyNumberFormat="1" applyFont="1" applyFill="1" applyBorder="1" applyAlignment="1">
      <alignment horizontal="left" vertical="center"/>
    </xf>
    <xf numFmtId="3" fontId="53" fillId="0" borderId="40" xfId="0" applyNumberFormat="1" applyFont="1" applyFill="1" applyBorder="1" applyAlignment="1" applyProtection="1">
      <alignment horizontal="right" vertical="center"/>
      <protection locked="0"/>
    </xf>
    <xf numFmtId="3" fontId="53" fillId="0" borderId="40" xfId="0" applyNumberFormat="1" applyFont="1" applyFill="1" applyBorder="1" applyAlignment="1" applyProtection="1">
      <alignment horizontal="right" vertical="center" wrapText="1"/>
      <protection locked="0"/>
    </xf>
    <xf numFmtId="49" fontId="53" fillId="0" borderId="60" xfId="0" applyNumberFormat="1" applyFont="1" applyFill="1" applyBorder="1" applyAlignment="1" applyProtection="1">
      <alignment horizontal="left" vertical="center"/>
      <protection locked="0"/>
    </xf>
    <xf numFmtId="3" fontId="53" fillId="0" borderId="61" xfId="0" applyNumberFormat="1" applyFont="1" applyFill="1" applyBorder="1" applyAlignment="1" applyProtection="1">
      <alignment horizontal="right" vertical="center"/>
      <protection locked="0"/>
    </xf>
    <xf numFmtId="3" fontId="53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54" fillId="0" borderId="64" xfId="0" applyNumberFormat="1" applyFont="1" applyFill="1" applyBorder="1" applyAlignment="1">
      <alignment horizontal="right" vertical="center" wrapText="1"/>
    </xf>
    <xf numFmtId="49" fontId="54" fillId="0" borderId="62" xfId="0" applyNumberFormat="1" applyFont="1" applyFill="1" applyBorder="1" applyAlignment="1" applyProtection="1">
      <alignment horizontal="left" vertical="center" indent="1"/>
      <protection locked="0"/>
    </xf>
    <xf numFmtId="166" fontId="54" fillId="0" borderId="42" xfId="0" applyNumberFormat="1" applyFont="1" applyFill="1" applyBorder="1" applyAlignment="1">
      <alignment vertical="center"/>
    </xf>
    <xf numFmtId="4" fontId="53" fillId="0" borderId="42" xfId="0" applyNumberFormat="1" applyFont="1" applyFill="1" applyBorder="1" applyAlignment="1" applyProtection="1">
      <alignment vertical="center" wrapText="1"/>
      <protection locked="0"/>
    </xf>
    <xf numFmtId="49" fontId="53" fillId="0" borderId="18" xfId="0" applyNumberFormat="1" applyFont="1" applyFill="1" applyBorder="1" applyAlignment="1">
      <alignment horizontal="left" vertical="center"/>
    </xf>
    <xf numFmtId="166" fontId="54" fillId="0" borderId="77" xfId="0" applyNumberFormat="1" applyFont="1" applyFill="1" applyBorder="1" applyAlignment="1" applyProtection="1">
      <alignment horizontal="right" vertical="center" wrapText="1"/>
      <protection/>
    </xf>
    <xf numFmtId="49" fontId="53" fillId="0" borderId="17" xfId="0" applyNumberFormat="1" applyFont="1" applyFill="1" applyBorder="1" applyAlignment="1">
      <alignment horizontal="left" vertical="center"/>
    </xf>
    <xf numFmtId="166" fontId="54" fillId="0" borderId="40" xfId="0" applyNumberFormat="1" applyFont="1" applyFill="1" applyBorder="1" applyAlignment="1" applyProtection="1">
      <alignment horizontal="right" vertical="center" wrapText="1"/>
      <protection/>
    </xf>
    <xf numFmtId="49" fontId="53" fillId="0" borderId="19" xfId="0" applyNumberFormat="1" applyFont="1" applyFill="1" applyBorder="1" applyAlignment="1" applyProtection="1">
      <alignment horizontal="left" vertical="center"/>
      <protection locked="0"/>
    </xf>
    <xf numFmtId="175" fontId="54" fillId="0" borderId="42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67" xfId="0" applyNumberFormat="1" applyFont="1" applyFill="1" applyBorder="1" applyAlignment="1" applyProtection="1">
      <alignment vertical="center" wrapText="1"/>
      <protection/>
    </xf>
    <xf numFmtId="10" fontId="54" fillId="0" borderId="58" xfId="0" applyNumberFormat="1" applyFont="1" applyFill="1" applyBorder="1" applyAlignment="1">
      <alignment horizontal="right" vertical="center" wrapText="1"/>
    </xf>
    <xf numFmtId="10" fontId="54" fillId="0" borderId="40" xfId="0" applyNumberFormat="1" applyFont="1" applyFill="1" applyBorder="1" applyAlignment="1">
      <alignment horizontal="right" vertical="center" wrapText="1"/>
    </xf>
    <xf numFmtId="10" fontId="54" fillId="0" borderId="64" xfId="0" applyNumberFormat="1" applyFont="1" applyFill="1" applyBorder="1" applyAlignment="1">
      <alignment horizontal="right" vertical="center" wrapText="1"/>
    </xf>
    <xf numFmtId="10" fontId="53" fillId="0" borderId="42" xfId="0" applyNumberFormat="1" applyFont="1" applyFill="1" applyBorder="1" applyAlignment="1" applyProtection="1">
      <alignment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166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0" xfId="0" applyNumberFormat="1" applyFill="1" applyAlignment="1" applyProtection="1">
      <alignment horizontal="right" vertical="center" wrapText="1" indent="1"/>
      <protection/>
    </xf>
    <xf numFmtId="0" fontId="17" fillId="0" borderId="77" xfId="0" applyFont="1" applyFill="1" applyBorder="1" applyAlignment="1" applyProtection="1">
      <alignment horizontal="center" vertical="center" wrapText="1"/>
      <protection/>
    </xf>
    <xf numFmtId="0" fontId="17" fillId="0" borderId="46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 applyProtection="1">
      <alignment horizontal="center" vertical="center" wrapText="1"/>
      <protection/>
    </xf>
    <xf numFmtId="0" fontId="15" fillId="0" borderId="77" xfId="0" applyFont="1" applyFill="1" applyBorder="1" applyAlignment="1" applyProtection="1">
      <alignment horizontal="center"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2" fillId="0" borderId="77" xfId="0" applyFont="1" applyFill="1" applyBorder="1" applyAlignment="1">
      <alignment horizontal="center" vertical="center"/>
    </xf>
    <xf numFmtId="166" fontId="2" fillId="0" borderId="0" xfId="60" applyNumberFormat="1" applyFont="1" applyFill="1" applyProtection="1">
      <alignment/>
      <protection/>
    </xf>
    <xf numFmtId="3" fontId="0" fillId="0" borderId="11" xfId="0" applyNumberFormat="1" applyFont="1" applyFill="1" applyBorder="1" applyAlignment="1" applyProtection="1">
      <alignment horizontal="left" vertical="center" indent="1"/>
      <protection locked="0"/>
    </xf>
    <xf numFmtId="3" fontId="4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indent="1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27" xfId="0" applyNumberFormat="1" applyFont="1" applyFill="1" applyBorder="1" applyAlignment="1" applyProtection="1">
      <alignment horizontal="right" vertical="center"/>
      <protection locked="0"/>
    </xf>
    <xf numFmtId="0" fontId="50" fillId="0" borderId="79" xfId="0" applyFont="1" applyBorder="1" applyAlignment="1">
      <alignment/>
    </xf>
    <xf numFmtId="0" fontId="50" fillId="0" borderId="13" xfId="0" applyFont="1" applyBorder="1" applyAlignment="1">
      <alignment/>
    </xf>
    <xf numFmtId="3" fontId="50" fillId="0" borderId="13" xfId="0" applyNumberFormat="1" applyFont="1" applyBorder="1" applyAlignment="1" applyProtection="1">
      <alignment vertical="center" wrapText="1"/>
      <protection locked="0"/>
    </xf>
    <xf numFmtId="3" fontId="50" fillId="0" borderId="80" xfId="0" applyNumberFormat="1" applyFont="1" applyBorder="1" applyAlignment="1" applyProtection="1">
      <alignment vertical="center" wrapText="1"/>
      <protection locked="0"/>
    </xf>
    <xf numFmtId="0" fontId="51" fillId="0" borderId="81" xfId="0" applyFont="1" applyBorder="1" applyAlignment="1">
      <alignment/>
    </xf>
    <xf numFmtId="0" fontId="51" fillId="0" borderId="11" xfId="0" applyFont="1" applyBorder="1" applyAlignment="1">
      <alignment/>
    </xf>
    <xf numFmtId="166" fontId="50" fillId="0" borderId="11" xfId="0" applyNumberFormat="1" applyFont="1" applyBorder="1" applyAlignment="1" applyProtection="1">
      <alignment horizontal="right" vertical="center" wrapText="1"/>
      <protection locked="0"/>
    </xf>
    <xf numFmtId="166" fontId="50" fillId="0" borderId="82" xfId="0" applyNumberFormat="1" applyFont="1" applyBorder="1" applyAlignment="1" applyProtection="1">
      <alignment horizontal="right" vertical="center" wrapText="1"/>
      <protection locked="0"/>
    </xf>
    <xf numFmtId="0" fontId="52" fillId="0" borderId="11" xfId="0" applyFont="1" applyBorder="1" applyAlignment="1">
      <alignment/>
    </xf>
    <xf numFmtId="0" fontId="50" fillId="0" borderId="81" xfId="0" applyFont="1" applyBorder="1" applyAlignment="1">
      <alignment/>
    </xf>
    <xf numFmtId="166" fontId="15" fillId="0" borderId="11" xfId="0" applyNumberFormat="1" applyFont="1" applyBorder="1" applyAlignment="1" applyProtection="1">
      <alignment horizontal="right" vertical="center" wrapText="1"/>
      <protection locked="0"/>
    </xf>
    <xf numFmtId="166" fontId="15" fillId="0" borderId="82" xfId="0" applyNumberFormat="1" applyFont="1" applyBorder="1" applyAlignment="1" applyProtection="1">
      <alignment horizontal="right" vertical="center" wrapText="1"/>
      <protection locked="0"/>
    </xf>
    <xf numFmtId="0" fontId="51" fillId="0" borderId="81" xfId="0" applyFont="1" applyBorder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/>
    </xf>
    <xf numFmtId="166" fontId="50" fillId="0" borderId="15" xfId="0" applyNumberFormat="1" applyFont="1" applyBorder="1" applyAlignment="1" applyProtection="1">
      <alignment horizontal="right" vertical="center" wrapText="1"/>
      <protection locked="0"/>
    </xf>
    <xf numFmtId="166" fontId="50" fillId="0" borderId="83" xfId="0" applyNumberFormat="1" applyFont="1" applyBorder="1" applyAlignment="1" applyProtection="1">
      <alignment horizontal="right" vertical="center" wrapText="1"/>
      <protection locked="0"/>
    </xf>
    <xf numFmtId="166" fontId="15" fillId="0" borderId="15" xfId="0" applyNumberFormat="1" applyFont="1" applyBorder="1" applyAlignment="1" applyProtection="1">
      <alignment horizontal="right" vertical="center" wrapText="1"/>
      <protection locked="0"/>
    </xf>
    <xf numFmtId="166" fontId="15" fillId="0" borderId="83" xfId="0" applyNumberFormat="1" applyFont="1" applyBorder="1" applyAlignment="1" applyProtection="1">
      <alignment horizontal="right" vertical="center" wrapText="1"/>
      <protection locked="0"/>
    </xf>
    <xf numFmtId="3" fontId="50" fillId="0" borderId="15" xfId="0" applyNumberFormat="1" applyFont="1" applyBorder="1" applyAlignment="1" applyProtection="1">
      <alignment horizontal="right" vertical="center" wrapText="1"/>
      <protection locked="0"/>
    </xf>
    <xf numFmtId="3" fontId="50" fillId="0" borderId="83" xfId="0" applyNumberFormat="1" applyFont="1" applyBorder="1" applyAlignment="1" applyProtection="1">
      <alignment horizontal="right" vertical="center" wrapText="1"/>
      <protection locked="0"/>
    </xf>
    <xf numFmtId="0" fontId="45" fillId="0" borderId="84" xfId="0" applyFont="1" applyBorder="1" applyAlignment="1">
      <alignment/>
    </xf>
    <xf numFmtId="0" fontId="50" fillId="0" borderId="85" xfId="0" applyFont="1" applyBorder="1" applyAlignment="1">
      <alignment/>
    </xf>
    <xf numFmtId="0" fontId="50" fillId="0" borderId="15" xfId="0" applyFont="1" applyBorder="1" applyAlignment="1">
      <alignment/>
    </xf>
    <xf numFmtId="166" fontId="0" fillId="0" borderId="0" xfId="0" applyNumberFormat="1" applyFill="1" applyAlignment="1">
      <alignment/>
    </xf>
    <xf numFmtId="0" fontId="49" fillId="0" borderId="29" xfId="0" applyFont="1" applyBorder="1" applyAlignment="1" applyProtection="1">
      <alignment horizontal="left" vertical="center" wrapText="1"/>
      <protection locked="0"/>
    </xf>
    <xf numFmtId="3" fontId="15" fillId="0" borderId="29" xfId="0" applyNumberFormat="1" applyFont="1" applyBorder="1" applyAlignment="1" applyProtection="1">
      <alignment horizontal="right" vertical="center" wrapText="1"/>
      <protection locked="0"/>
    </xf>
    <xf numFmtId="3" fontId="15" fillId="0" borderId="15" xfId="0" applyNumberFormat="1" applyFont="1" applyBorder="1" applyAlignment="1" applyProtection="1">
      <alignment horizontal="right" vertical="center" wrapText="1"/>
      <protection locked="0"/>
    </xf>
    <xf numFmtId="3" fontId="15" fillId="0" borderId="83" xfId="0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 applyFill="1" applyAlignment="1">
      <alignment/>
    </xf>
    <xf numFmtId="0" fontId="104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19" fillId="3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5" fillId="37" borderId="0" xfId="0" applyFont="1" applyFill="1" applyAlignment="1" applyProtection="1">
      <alignment horizontal="center"/>
      <protection locked="0"/>
    </xf>
    <xf numFmtId="0" fontId="6" fillId="0" borderId="86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6" fontId="5" fillId="0" borderId="0" xfId="60" applyNumberFormat="1" applyFont="1" applyFill="1" applyBorder="1" applyAlignment="1" applyProtection="1">
      <alignment horizontal="center" vertical="center"/>
      <protection locked="0"/>
    </xf>
    <xf numFmtId="166" fontId="5" fillId="0" borderId="0" xfId="60" applyNumberFormat="1" applyFont="1" applyFill="1" applyBorder="1" applyAlignment="1" applyProtection="1">
      <alignment horizontal="center" vertical="center"/>
      <protection/>
    </xf>
    <xf numFmtId="166" fontId="20" fillId="0" borderId="30" xfId="60" applyNumberFormat="1" applyFont="1" applyFill="1" applyBorder="1" applyAlignment="1" applyProtection="1">
      <alignment horizontal="left" vertical="center"/>
      <protection locked="0"/>
    </xf>
    <xf numFmtId="166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6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1" xfId="60" applyFont="1" applyFill="1" applyBorder="1" applyAlignment="1" applyProtection="1">
      <alignment horizontal="center" vertical="center" wrapText="1"/>
      <protection/>
    </xf>
    <xf numFmtId="166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105" fillId="0" borderId="63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5" fillId="0" borderId="0" xfId="0" applyNumberFormat="1" applyFont="1" applyFill="1" applyAlignment="1" applyProtection="1">
      <alignment horizontal="center" vertical="center" wrapText="1"/>
      <protection locked="0"/>
    </xf>
    <xf numFmtId="166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center" textRotation="180"/>
    </xf>
    <xf numFmtId="166" fontId="4" fillId="0" borderId="30" xfId="0" applyNumberFormat="1" applyFont="1" applyFill="1" applyBorder="1" applyAlignment="1" applyProtection="1">
      <alignment horizontal="right" vertical="center"/>
      <protection locked="0"/>
    </xf>
    <xf numFmtId="166" fontId="6" fillId="0" borderId="78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6" fillId="0" borderId="55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 wrapText="1"/>
    </xf>
    <xf numFmtId="166" fontId="6" fillId="0" borderId="77" xfId="0" applyNumberFormat="1" applyFont="1" applyFill="1" applyBorder="1" applyAlignment="1">
      <alignment horizontal="center" vertical="center" wrapText="1"/>
    </xf>
    <xf numFmtId="166" fontId="6" fillId="0" borderId="43" xfId="0" applyNumberFormat="1" applyFont="1" applyFill="1" applyBorder="1" applyAlignment="1">
      <alignment horizontal="center" vertical="center" wrapText="1"/>
    </xf>
    <xf numFmtId="166" fontId="3" fillId="0" borderId="62" xfId="0" applyNumberFormat="1" applyFont="1" applyFill="1" applyBorder="1" applyAlignment="1">
      <alignment horizontal="left" vertical="center" wrapText="1" indent="2"/>
    </xf>
    <xf numFmtId="166" fontId="3" fillId="0" borderId="65" xfId="0" applyNumberFormat="1" applyFont="1" applyFill="1" applyBorder="1" applyAlignment="1">
      <alignment horizontal="left" vertical="center" wrapText="1" indent="2"/>
    </xf>
    <xf numFmtId="166" fontId="0" fillId="0" borderId="87" xfId="0" applyNumberFormat="1" applyFill="1" applyBorder="1" applyAlignment="1" applyProtection="1">
      <alignment horizontal="left" vertical="center" wrapText="1"/>
      <protection locked="0"/>
    </xf>
    <xf numFmtId="166" fontId="0" fillId="0" borderId="88" xfId="0" applyNumberFormat="1" applyFill="1" applyBorder="1" applyAlignment="1" applyProtection="1">
      <alignment horizontal="left" vertical="center" wrapText="1"/>
      <protection locked="0"/>
    </xf>
    <xf numFmtId="166" fontId="0" fillId="0" borderId="0" xfId="0" applyNumberFormat="1" applyFill="1" applyAlignment="1" applyProtection="1">
      <alignment horizontal="left" vertical="center" wrapText="1"/>
      <protection locked="0"/>
    </xf>
    <xf numFmtId="166" fontId="3" fillId="0" borderId="62" xfId="0" applyNumberFormat="1" applyFont="1" applyFill="1" applyBorder="1" applyAlignment="1">
      <alignment horizontal="center" vertical="center" wrapText="1"/>
    </xf>
    <xf numFmtId="166" fontId="3" fillId="0" borderId="65" xfId="0" applyNumberFormat="1" applyFont="1" applyFill="1" applyBorder="1" applyAlignment="1">
      <alignment horizontal="center" vertical="center" wrapText="1"/>
    </xf>
    <xf numFmtId="166" fontId="12" fillId="0" borderId="42" xfId="0" applyNumberFormat="1" applyFont="1" applyFill="1" applyBorder="1" applyAlignment="1">
      <alignment horizontal="center" vertical="center"/>
    </xf>
    <xf numFmtId="166" fontId="0" fillId="0" borderId="57" xfId="0" applyNumberFormat="1" applyFill="1" applyBorder="1" applyAlignment="1" applyProtection="1">
      <alignment horizontal="left" vertical="center" wrapText="1"/>
      <protection locked="0"/>
    </xf>
    <xf numFmtId="166" fontId="0" fillId="0" borderId="70" xfId="0" applyNumberFormat="1" applyFill="1" applyBorder="1" applyAlignment="1" applyProtection="1">
      <alignment horizontal="left" vertical="center" wrapText="1"/>
      <protection locked="0"/>
    </xf>
    <xf numFmtId="166" fontId="6" fillId="0" borderId="42" xfId="0" applyNumberFormat="1" applyFont="1" applyFill="1" applyBorder="1" applyAlignment="1">
      <alignment horizontal="center" vertical="center" wrapText="1"/>
    </xf>
    <xf numFmtId="166" fontId="12" fillId="0" borderId="42" xfId="0" applyNumberFormat="1" applyFont="1" applyFill="1" applyBorder="1" applyAlignment="1">
      <alignment horizontal="center" vertical="center" wrapText="1"/>
    </xf>
    <xf numFmtId="175" fontId="26" fillId="0" borderId="63" xfId="0" applyNumberFormat="1" applyFont="1" applyFill="1" applyBorder="1" applyAlignment="1" applyProtection="1">
      <alignment horizontal="left" vertical="center" wrapText="1"/>
      <protection locked="0"/>
    </xf>
    <xf numFmtId="166" fontId="4" fillId="0" borderId="30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right" vertical="top"/>
      <protection locked="0"/>
    </xf>
    <xf numFmtId="0" fontId="1" fillId="0" borderId="30" xfId="0" applyFont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left" vertical="center" wrapText="1" indent="1"/>
      <protection/>
    </xf>
    <xf numFmtId="0" fontId="6" fillId="0" borderId="32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166" fontId="6" fillId="0" borderId="13" xfId="60" applyNumberFormat="1" applyFont="1" applyFill="1" applyBorder="1" applyAlignment="1" applyProtection="1">
      <alignment horizontal="center" vertical="center"/>
      <protection/>
    </xf>
    <xf numFmtId="166" fontId="6" fillId="0" borderId="44" xfId="60" applyNumberFormat="1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 locked="0"/>
    </xf>
    <xf numFmtId="0" fontId="6" fillId="0" borderId="21" xfId="60" applyFont="1" applyFill="1" applyBorder="1" applyAlignment="1" applyProtection="1">
      <alignment horizontal="center" vertical="center" wrapText="1"/>
      <protection locked="0"/>
    </xf>
    <xf numFmtId="0" fontId="6" fillId="0" borderId="13" xfId="60" applyFont="1" applyFill="1" applyBorder="1" applyAlignment="1" applyProtection="1">
      <alignment horizontal="center" vertical="center" wrapText="1"/>
      <protection locked="0"/>
    </xf>
    <xf numFmtId="0" fontId="6" fillId="0" borderId="29" xfId="60" applyFont="1" applyFill="1" applyBorder="1" applyAlignment="1" applyProtection="1">
      <alignment horizontal="center" vertical="center" wrapText="1"/>
      <protection locked="0"/>
    </xf>
    <xf numFmtId="0" fontId="6" fillId="0" borderId="25" xfId="60" applyFont="1" applyFill="1" applyBorder="1" applyAlignment="1" applyProtection="1">
      <alignment horizontal="center" vertical="center" wrapText="1"/>
      <protection locked="0"/>
    </xf>
    <xf numFmtId="0" fontId="6" fillId="0" borderId="31" xfId="60" applyFont="1" applyFill="1" applyBorder="1" applyAlignment="1" applyProtection="1">
      <alignment horizontal="center" vertical="center" wrapText="1"/>
      <protection locked="0"/>
    </xf>
    <xf numFmtId="166" fontId="6" fillId="0" borderId="13" xfId="60" applyNumberFormat="1" applyFont="1" applyFill="1" applyBorder="1" applyAlignment="1" applyProtection="1">
      <alignment horizontal="center" vertical="center"/>
      <protection locked="0"/>
    </xf>
    <xf numFmtId="166" fontId="6" fillId="0" borderId="44" xfId="6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/>
    </xf>
    <xf numFmtId="166" fontId="6" fillId="0" borderId="37" xfId="0" applyNumberFormat="1" applyFont="1" applyFill="1" applyBorder="1" applyAlignment="1" applyProtection="1">
      <alignment horizontal="center" vertical="center" wrapText="1"/>
      <protection/>
    </xf>
    <xf numFmtId="166" fontId="6" fillId="0" borderId="25" xfId="0" applyNumberFormat="1" applyFont="1" applyFill="1" applyBorder="1" applyAlignment="1" applyProtection="1">
      <alignment horizontal="center" vertical="center" wrapText="1"/>
      <protection/>
    </xf>
    <xf numFmtId="166" fontId="6" fillId="0" borderId="31" xfId="0" applyNumberFormat="1" applyFont="1" applyFill="1" applyBorder="1" applyAlignment="1" applyProtection="1">
      <alignment horizontal="center" vertical="center"/>
      <protection/>
    </xf>
    <xf numFmtId="166" fontId="6" fillId="0" borderId="31" xfId="0" applyNumberFormat="1" applyFont="1" applyFill="1" applyBorder="1" applyAlignment="1" applyProtection="1">
      <alignment horizontal="center" vertical="center" wrapText="1"/>
      <protection/>
    </xf>
    <xf numFmtId="166" fontId="6" fillId="0" borderId="77" xfId="0" applyNumberFormat="1" applyFont="1" applyFill="1" applyBorder="1" applyAlignment="1" applyProtection="1">
      <alignment horizontal="center" vertical="center" wrapText="1"/>
      <protection/>
    </xf>
    <xf numFmtId="166" fontId="6" fillId="0" borderId="56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 locked="0"/>
    </xf>
    <xf numFmtId="166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77" xfId="0" applyNumberFormat="1" applyFont="1" applyFill="1" applyBorder="1" applyAlignment="1" applyProtection="1">
      <alignment horizontal="center" vertical="center"/>
      <protection locked="0"/>
    </xf>
    <xf numFmtId="166" fontId="6" fillId="0" borderId="56" xfId="0" applyNumberFormat="1" applyFont="1" applyFill="1" applyBorder="1" applyAlignment="1" applyProtection="1">
      <alignment horizontal="center" vertical="center"/>
      <protection locked="0"/>
    </xf>
    <xf numFmtId="166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8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8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6" fillId="0" borderId="46" xfId="0" applyFont="1" applyFill="1" applyBorder="1" applyAlignment="1" applyProtection="1">
      <alignment horizontal="left" vertical="center" wrapText="1"/>
      <protection/>
    </xf>
    <xf numFmtId="0" fontId="12" fillId="0" borderId="62" xfId="0" applyFont="1" applyFill="1" applyBorder="1" applyAlignment="1" applyProtection="1">
      <alignment horizontal="left" vertical="center"/>
      <protection/>
    </xf>
    <xf numFmtId="0" fontId="12" fillId="0" borderId="32" xfId="0" applyFont="1" applyFill="1" applyBorder="1" applyAlignment="1" applyProtection="1">
      <alignment horizontal="left" vertical="center"/>
      <protection/>
    </xf>
    <xf numFmtId="0" fontId="3" fillId="0" borderId="6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right"/>
      <protection locked="0"/>
    </xf>
    <xf numFmtId="0" fontId="6" fillId="0" borderId="78" xfId="0" applyFont="1" applyFill="1" applyBorder="1" applyAlignment="1" applyProtection="1">
      <alignment horizontal="center" vertical="center" wrapTex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0" fontId="6" fillId="0" borderId="75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6" fillId="0" borderId="78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62" xfId="0" applyFont="1" applyFill="1" applyBorder="1" applyAlignment="1">
      <alignment horizontal="left" vertical="center" indent="2"/>
    </xf>
    <xf numFmtId="0" fontId="6" fillId="0" borderId="32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25" fillId="0" borderId="0" xfId="62" applyFont="1" applyFill="1" applyAlignment="1" applyProtection="1">
      <alignment horizontal="left"/>
      <protection/>
    </xf>
    <xf numFmtId="0" fontId="28" fillId="0" borderId="0" xfId="62" applyFont="1" applyFill="1" applyAlignment="1" applyProtection="1">
      <alignment horizontal="right"/>
      <protection locked="0"/>
    </xf>
    <xf numFmtId="0" fontId="30" fillId="0" borderId="0" xfId="62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0" fillId="0" borderId="0" xfId="62" applyFont="1" applyFill="1" applyAlignment="1" applyProtection="1">
      <alignment horizontal="center" vertical="center" wrapText="1"/>
      <protection locked="0"/>
    </xf>
    <xf numFmtId="0" fontId="30" fillId="0" borderId="0" xfId="62" applyFont="1" applyFill="1" applyAlignment="1" applyProtection="1">
      <alignment horizontal="center" vertical="center"/>
      <protection locked="0"/>
    </xf>
    <xf numFmtId="0" fontId="32" fillId="0" borderId="0" xfId="62" applyFont="1" applyFill="1" applyBorder="1" applyAlignment="1" applyProtection="1">
      <alignment horizontal="right"/>
      <protection locked="0"/>
    </xf>
    <xf numFmtId="0" fontId="33" fillId="0" borderId="24" xfId="62" applyFont="1" applyFill="1" applyBorder="1" applyAlignment="1" applyProtection="1">
      <alignment horizontal="center" vertical="center" wrapText="1"/>
      <protection locked="0"/>
    </xf>
    <xf numFmtId="0" fontId="33" fillId="0" borderId="16" xfId="62" applyFont="1" applyFill="1" applyBorder="1" applyAlignment="1" applyProtection="1">
      <alignment horizontal="center" vertical="center" wrapText="1"/>
      <protection locked="0"/>
    </xf>
    <xf numFmtId="0" fontId="33" fillId="0" borderId="18" xfId="62" applyFont="1" applyFill="1" applyBorder="1" applyAlignment="1" applyProtection="1">
      <alignment horizontal="center" vertical="center" wrapText="1"/>
      <protection locked="0"/>
    </xf>
    <xf numFmtId="0" fontId="20" fillId="0" borderId="25" xfId="61" applyFont="1" applyFill="1" applyBorder="1" applyAlignment="1" applyProtection="1">
      <alignment horizontal="center" vertical="center" textRotation="90"/>
      <protection locked="0"/>
    </xf>
    <xf numFmtId="0" fontId="20" fillId="0" borderId="10" xfId="61" applyFont="1" applyFill="1" applyBorder="1" applyAlignment="1" applyProtection="1">
      <alignment horizontal="center" vertical="center" textRotation="90"/>
      <protection locked="0"/>
    </xf>
    <xf numFmtId="0" fontId="20" fillId="0" borderId="12" xfId="61" applyFont="1" applyFill="1" applyBorder="1" applyAlignment="1" applyProtection="1">
      <alignment horizontal="center" vertical="center" textRotation="90"/>
      <protection locked="0"/>
    </xf>
    <xf numFmtId="0" fontId="32" fillId="0" borderId="13" xfId="62" applyFont="1" applyFill="1" applyBorder="1" applyAlignment="1" applyProtection="1">
      <alignment horizontal="center" vertical="center" wrapText="1"/>
      <protection locked="0"/>
    </xf>
    <xf numFmtId="0" fontId="32" fillId="0" borderId="11" xfId="62" applyFont="1" applyFill="1" applyBorder="1" applyAlignment="1" applyProtection="1">
      <alignment horizontal="center" vertical="center" wrapText="1"/>
      <protection locked="0"/>
    </xf>
    <xf numFmtId="0" fontId="32" fillId="0" borderId="75" xfId="62" applyFont="1" applyFill="1" applyBorder="1" applyAlignment="1" applyProtection="1">
      <alignment horizontal="center" vertical="center" wrapText="1"/>
      <protection locked="0"/>
    </xf>
    <xf numFmtId="0" fontId="32" fillId="0" borderId="74" xfId="62" applyFont="1" applyFill="1" applyBorder="1" applyAlignment="1" applyProtection="1">
      <alignment horizontal="center" vertical="center" wrapText="1"/>
      <protection locked="0"/>
    </xf>
    <xf numFmtId="0" fontId="32" fillId="0" borderId="11" xfId="62" applyFont="1" applyFill="1" applyBorder="1" applyAlignment="1" applyProtection="1">
      <alignment horizontal="center" wrapText="1"/>
      <protection locked="0"/>
    </xf>
    <xf numFmtId="0" fontId="32" fillId="0" borderId="27" xfId="62" applyFont="1" applyFill="1" applyBorder="1" applyAlignment="1" applyProtection="1">
      <alignment horizontal="center" wrapText="1"/>
      <protection locked="0"/>
    </xf>
    <xf numFmtId="0" fontId="25" fillId="0" borderId="0" xfId="62" applyFont="1" applyFill="1" applyAlignment="1" applyProtection="1">
      <alignment horizontal="center"/>
      <protection/>
    </xf>
    <xf numFmtId="0" fontId="8" fillId="0" borderId="0" xfId="61" applyFont="1" applyFill="1" applyAlignment="1" applyProtection="1">
      <alignment horizontal="right" vertical="center" wrapText="1"/>
      <protection locked="0"/>
    </xf>
    <xf numFmtId="0" fontId="0" fillId="0" borderId="0" xfId="61" applyFill="1" applyAlignment="1" applyProtection="1">
      <alignment horizontal="right" vertical="center" wrapText="1"/>
      <protection locked="0"/>
    </xf>
    <xf numFmtId="0" fontId="5" fillId="0" borderId="0" xfId="61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1" applyFont="1" applyFill="1" applyAlignment="1" applyProtection="1">
      <alignment horizontal="center" vertical="center" wrapText="1"/>
      <protection locked="0"/>
    </xf>
    <xf numFmtId="0" fontId="20" fillId="0" borderId="0" xfId="61" applyFont="1" applyFill="1" applyBorder="1" applyAlignment="1" applyProtection="1">
      <alignment horizontal="right" vertical="center"/>
      <protection locked="0"/>
    </xf>
    <xf numFmtId="0" fontId="5" fillId="0" borderId="20" xfId="61" applyFont="1" applyFill="1" applyBorder="1" applyAlignment="1" applyProtection="1">
      <alignment horizontal="center" vertical="center" wrapText="1"/>
      <protection locked="0"/>
    </xf>
    <xf numFmtId="0" fontId="5" fillId="0" borderId="17" xfId="61" applyFont="1" applyFill="1" applyBorder="1" applyAlignment="1" applyProtection="1">
      <alignment horizontal="center" vertical="center" wrapText="1"/>
      <protection locked="0"/>
    </xf>
    <xf numFmtId="0" fontId="20" fillId="0" borderId="13" xfId="61" applyFont="1" applyFill="1" applyBorder="1" applyAlignment="1" applyProtection="1">
      <alignment horizontal="center" vertical="center" textRotation="90"/>
      <protection locked="0"/>
    </xf>
    <xf numFmtId="0" fontId="20" fillId="0" borderId="11" xfId="61" applyFont="1" applyFill="1" applyBorder="1" applyAlignment="1" applyProtection="1">
      <alignment horizontal="center" vertical="center" textRotation="90"/>
      <protection locked="0"/>
    </xf>
    <xf numFmtId="0" fontId="4" fillId="0" borderId="44" xfId="61" applyFont="1" applyFill="1" applyBorder="1" applyAlignment="1" applyProtection="1">
      <alignment horizontal="center" vertical="center" wrapText="1"/>
      <protection locked="0"/>
    </xf>
    <xf numFmtId="0" fontId="4" fillId="0" borderId="27" xfId="61" applyFont="1" applyFill="1" applyBorder="1" applyAlignment="1" applyProtection="1">
      <alignment horizontal="center" vertical="center"/>
      <protection locked="0"/>
    </xf>
    <xf numFmtId="0" fontId="30" fillId="0" borderId="0" xfId="62" applyFont="1" applyFill="1" applyAlignment="1">
      <alignment horizontal="center" vertical="center" wrapText="1"/>
      <protection/>
    </xf>
    <xf numFmtId="0" fontId="30" fillId="0" borderId="0" xfId="62" applyFont="1" applyFill="1" applyAlignment="1">
      <alignment horizontal="center" vertical="center"/>
      <protection/>
    </xf>
    <xf numFmtId="0" fontId="15" fillId="0" borderId="62" xfId="62" applyFont="1" applyFill="1" applyBorder="1" applyAlignment="1">
      <alignment horizontal="left"/>
      <protection/>
    </xf>
    <xf numFmtId="0" fontId="15" fillId="0" borderId="32" xfId="62" applyFont="1" applyFill="1" applyBorder="1" applyAlignment="1">
      <alignment horizontal="left"/>
      <protection/>
    </xf>
    <xf numFmtId="3" fontId="25" fillId="0" borderId="0" xfId="62" applyNumberFormat="1" applyFont="1" applyFill="1" applyAlignment="1">
      <alignment horizontal="center"/>
      <protection/>
    </xf>
    <xf numFmtId="0" fontId="28" fillId="0" borderId="0" xfId="62" applyFont="1" applyFill="1" applyAlignment="1">
      <alignment horizontal="right"/>
      <protection/>
    </xf>
    <xf numFmtId="0" fontId="30" fillId="0" borderId="0" xfId="62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9" fillId="0" borderId="22" xfId="0" applyFont="1" applyBorder="1" applyAlignment="1" applyProtection="1">
      <alignment wrapText="1"/>
      <protection/>
    </xf>
    <xf numFmtId="0" fontId="39" fillId="0" borderId="23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zoomScale="120" zoomScaleNormal="120" zoomScalePageLayoutView="0" workbookViewId="0" topLeftCell="A1">
      <selection activeCell="E27" sqref="E27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2" spans="1:3" ht="18.75">
      <c r="A2" s="811" t="s">
        <v>803</v>
      </c>
      <c r="B2" s="811"/>
      <c r="C2" s="811"/>
    </row>
    <row r="3" spans="1:3" ht="15">
      <c r="A3" s="659"/>
      <c r="B3" s="660"/>
      <c r="C3" s="659"/>
    </row>
    <row r="4" spans="1:3" ht="14.25">
      <c r="A4" s="661" t="s">
        <v>804</v>
      </c>
      <c r="B4" s="662" t="s">
        <v>805</v>
      </c>
      <c r="C4" s="661" t="s">
        <v>806</v>
      </c>
    </row>
    <row r="5" spans="1:3" ht="12.75">
      <c r="A5" s="663"/>
      <c r="B5" s="663"/>
      <c r="C5" s="663"/>
    </row>
    <row r="6" spans="1:3" ht="18.75">
      <c r="A6" s="812" t="s">
        <v>838</v>
      </c>
      <c r="B6" s="812"/>
      <c r="C6" s="812"/>
    </row>
    <row r="7" spans="1:3" ht="12.75">
      <c r="A7" s="663" t="s">
        <v>807</v>
      </c>
      <c r="B7" s="663" t="s">
        <v>808</v>
      </c>
      <c r="C7" s="664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663" t="s">
        <v>809</v>
      </c>
      <c r="B8" s="663" t="s">
        <v>846</v>
      </c>
      <c r="C8" s="664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663" t="s">
        <v>810</v>
      </c>
      <c r="B9" s="663" t="str">
        <f>CONCATENATE(LOWER('Z_1.1.sz.mell.'!A3))</f>
        <v>2019. évi zárszámadásának pénzügyi mérlege</v>
      </c>
      <c r="C9" s="664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663" t="s">
        <v>811</v>
      </c>
      <c r="B10" s="663" t="str">
        <f>'Z_1.2.sz.mell.'!A3</f>
        <v>2019. ÉVI ZÁRSZÁMADSÁS</v>
      </c>
      <c r="C10" s="664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663" t="s">
        <v>812</v>
      </c>
      <c r="B11" s="663" t="str">
        <f>'Z_1.3.sz.mell.'!A3</f>
        <v>2019. ÉVI ZÁRSZÁMADSÁS</v>
      </c>
      <c r="C11" s="664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663" t="s">
        <v>813</v>
      </c>
      <c r="B12" s="663" t="e">
        <f>#REF!</f>
        <v>#REF!</v>
      </c>
      <c r="C12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663" t="s">
        <v>518</v>
      </c>
      <c r="B13" s="663" t="s">
        <v>814</v>
      </c>
      <c r="C13" s="664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663" t="s">
        <v>422</v>
      </c>
      <c r="B14" s="663" t="s">
        <v>815</v>
      </c>
      <c r="C14" s="664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663" t="s">
        <v>816</v>
      </c>
      <c r="B15" s="663" t="s">
        <v>817</v>
      </c>
      <c r="C15" s="664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663" t="s">
        <v>818</v>
      </c>
      <c r="B16" s="663" t="s">
        <v>819</v>
      </c>
      <c r="C16" s="664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663" t="s">
        <v>820</v>
      </c>
      <c r="B17" s="663" t="s">
        <v>821</v>
      </c>
      <c r="C17" s="664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663" t="s">
        <v>822</v>
      </c>
      <c r="B18" s="663" t="str">
        <f>'Z_5.1.sz.mell.'!A2</f>
        <v>Európai uniós támogatással megvalósuló projektek</v>
      </c>
      <c r="C18" s="664" t="str">
        <f ca="1">HYPERLINK(SUBSTITUTE(CELL("address",'Z_5.1.sz.mell.'!A1),"'",""),SUBSTITUTE(MID(CELL("address",'Z_5.1.sz.mell.'!A1),SEARCH("]",CELL("address",'Z_5.1.sz.mell.'!A1),1)+1,LEN(CELL("address",'Z_5.1.sz.mell.'!A1))-SEARCH("]",CELL("address",'Z_5.1.sz.mell.'!A1),1)),"'",""))</f>
        <v>Z_5.1.sz.mell.!$A$1</v>
      </c>
    </row>
    <row r="19" spans="1:3" ht="12.75">
      <c r="A19" s="663" t="s">
        <v>525</v>
      </c>
      <c r="B19" s="663" t="s">
        <v>823</v>
      </c>
      <c r="C19" s="664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663" t="s">
        <v>456</v>
      </c>
      <c r="B20" s="663" t="s">
        <v>824</v>
      </c>
      <c r="C20" s="664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663" t="s">
        <v>457</v>
      </c>
      <c r="B21" s="663" t="s">
        <v>326</v>
      </c>
      <c r="C21" s="664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663" t="s">
        <v>825</v>
      </c>
      <c r="B22" s="663" t="s">
        <v>826</v>
      </c>
      <c r="C22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3" spans="1:3" ht="12.75">
      <c r="A23" s="663" t="s">
        <v>827</v>
      </c>
      <c r="B23" s="663" t="str">
        <f>Z_ALAPADATOK!A11</f>
        <v>Szalántai Közös Önkormányzati Hivatal</v>
      </c>
      <c r="C23" s="664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663" t="s">
        <v>828</v>
      </c>
      <c r="B24" t="str">
        <f>Z_ALAPADATOK!B13</f>
        <v>1 kvi név</v>
      </c>
      <c r="C24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5" spans="1:3" ht="12.75">
      <c r="A25" s="663" t="s">
        <v>829</v>
      </c>
      <c r="B25" t="str">
        <f>Z_ALAPADATOK!B15</f>
        <v>2 kvi név</v>
      </c>
      <c r="C25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663" t="s">
        <v>830</v>
      </c>
      <c r="B26" t="str">
        <f>Z_ALAPADATOK!B17</f>
        <v>3 kvi név</v>
      </c>
      <c r="C26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663" t="s">
        <v>831</v>
      </c>
      <c r="B27" t="str">
        <f>Z_ALAPADATOK!B19</f>
        <v>4 kvi név</v>
      </c>
      <c r="C27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663" t="s">
        <v>832</v>
      </c>
      <c r="B28" t="str">
        <f>Z_ALAPADATOK!B21</f>
        <v>5 kvi név</v>
      </c>
      <c r="C28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663" t="s">
        <v>833</v>
      </c>
      <c r="B29" t="str">
        <f>Z_ALAPADATOK!B23</f>
        <v>6 kvi név</v>
      </c>
      <c r="C29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663" t="s">
        <v>834</v>
      </c>
      <c r="B30" t="str">
        <f>Z_ALAPADATOK!B25</f>
        <v>7 kvi név</v>
      </c>
      <c r="C30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663" t="s">
        <v>835</v>
      </c>
      <c r="B31" t="str">
        <f>Z_ALAPADATOK!B27</f>
        <v>8 kvi név</v>
      </c>
      <c r="C31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663" t="s">
        <v>836</v>
      </c>
      <c r="B32" t="str">
        <f>Z_ALAPADATOK!B29</f>
        <v>9 kvi név</v>
      </c>
      <c r="C32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663" t="s">
        <v>837</v>
      </c>
      <c r="B33" t="str">
        <f>Z_ALAPADATOK!B31</f>
        <v>10 kvi név</v>
      </c>
      <c r="C33" s="664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663" t="s">
        <v>863</v>
      </c>
      <c r="B34" t="str">
        <f>PROPER('Z_7.sz.mell'!A3)</f>
        <v>Költségvetési Szervek Maradványának Alakulása</v>
      </c>
      <c r="C34" s="664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663" t="s">
        <v>864</v>
      </c>
      <c r="B35" t="str">
        <f>'Z_8.sz.mell'!B1</f>
        <v>2019. évi általános működés és ágazati feladatok támogatásának alakulása jogcímenként</v>
      </c>
      <c r="C35" s="664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663" t="s">
        <v>781</v>
      </c>
      <c r="B36" t="str">
        <f>CONCATENATE(PROPER('Z_1.tájékoztató_t.'!A2)," ",LOWER('Z_1.tájékoztató_t.'!A3))</f>
        <v>Szalánta Községi Önkormányzat 2019. évi zárszámadásának pénzügyi mérlege</v>
      </c>
      <c r="C36" s="664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663" t="s">
        <v>783</v>
      </c>
      <c r="B37" t="str">
        <f>'Z_2.tájékoztató_t.'!A1</f>
        <v>Többéves kihatással járó döntésekből származó kötzelezettségek célok szerinti, évenkénti bontásban</v>
      </c>
      <c r="C37" s="664" t="str">
        <f ca="1">HYPERLINK(SUBSTITUTE(CELL("address",'Z_2.tájékoztató_t.'!A2),"'",""),SUBSTITUTE(MID(CELL("address",'Z_2.tájékoztató_t.'!A2),SEARCH("]",CELL("address",'Z_2.tájékoztató_t.'!A2),1)+1,LEN(CELL("address",'Z_2.tájékoztató_t.'!A2))-SEARCH("]",CELL("address",'Z_2.tájékoztató_t.'!A2),1)),"'",""))</f>
        <v>Z_2.tájékoztató_t.!$A$2</v>
      </c>
    </row>
    <row r="38" spans="1:3" ht="12.75">
      <c r="A38" s="663" t="s">
        <v>787</v>
      </c>
      <c r="B38" t="str">
        <f>'Z_3.tájékoztató_t.'!A1</f>
        <v>Az önkormányzat által nyújtott hitel és kölcsön alakulása lejárat és eszközök szerinti bontásban</v>
      </c>
      <c r="C38" s="664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39" spans="1:3" ht="12.75">
      <c r="A39" s="663" t="s">
        <v>788</v>
      </c>
      <c r="B39" t="str">
        <f>'Z_4.tájékoztató_t.'!A1</f>
        <v>Adósság állomány alakulása lejárat, eszközök, bel- és külföldi hitelezők szerinti bontásban
2019. december 31-én</v>
      </c>
      <c r="C39" s="664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0" spans="1:3" ht="12.75">
      <c r="A40" s="663" t="s">
        <v>789</v>
      </c>
      <c r="B40" t="str">
        <f>'Z_5.tájékoztató_t.'!A3</f>
        <v>Az önkormányzat által adott közvetett támogatások</v>
      </c>
      <c r="C40" s="664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  <row r="41" spans="1:3" ht="12.75">
      <c r="A41" s="663" t="s">
        <v>793</v>
      </c>
      <c r="B41" t="str">
        <f>CONCATENATE(PROPER('Z_6.tájékoztató_t.'!A3)," ",LOWER('Z_6.tájékoztató_t.'!A4))</f>
        <v>K I M U T A T Á S a 2019. évi céljelleggel juttatott támogatások felhasználásáról</v>
      </c>
      <c r="C41" s="664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2" spans="1:3" ht="12.75">
      <c r="A42" s="663" t="s">
        <v>795</v>
      </c>
      <c r="B42" t="str">
        <f>CONCATENATE(PROPER('Z_7.1.tájékoztató_t.'!A2)," ",'Z_7.1.tájékoztató_t.'!A3)</f>
        <v>Vagyonkimutatás a könyvviteli mérlegben értékkel szerplő eszközökről</v>
      </c>
      <c r="C42" s="664" t="str">
        <f ca="1">HYPERLINK(SUBSTITUTE(CELL("address",'Z_7.1.tájékoztató_t.'!A1),"'",""),SUBSTITUTE(MID(CELL("address",'Z_7.1.tájékoztató_t.'!A1),SEARCH("]",CELL("address",'Z_7.1.tájékoztató_t.'!A1),1)+1,LEN(CELL("address",'Z_7.1.tájékoztató_t.'!A1))-SEARCH("]",CELL("address",'Z_7.1.tájékoztató_t.'!A1),1)),"'",""))</f>
        <v>Z_7.1.tájékoztató_t.!$A$1</v>
      </c>
    </row>
    <row r="43" spans="1:3" ht="12.75">
      <c r="A43" s="663" t="s">
        <v>798</v>
      </c>
      <c r="B43" t="str">
        <f>CONCATENATE(PROPER('Z_7.2.tájékoztató_t.'!A3)," ",'Z_7.2.tájékoztató_t.'!A4)</f>
        <v>Vagyonkimutatás a könyvviteli mérlegben értékkel szereplő forrásokról</v>
      </c>
      <c r="C43" s="664" t="str">
        <f ca="1">HYPERLINK(SUBSTITUTE(CELL("address",'Z_7.2.tájékoztató_t.'!A1),"'",""),SUBSTITUTE(MID(CELL("address",'Z_7.2.tájékoztató_t.'!A1),SEARCH("]",CELL("address",'Z_7.2.tájékoztató_t.'!A1),1)+1,LEN(CELL("address",'Z_7.2.tájékoztató_t.'!A1))-SEARCH("]",CELL("address",'Z_7.2.tájékoztató_t.'!A1),1)),"'",""))</f>
        <v>Z_7.2.tájékoztató_t.!$A$1</v>
      </c>
    </row>
    <row r="44" spans="1:3" ht="12.75">
      <c r="A44" s="663" t="s">
        <v>799</v>
      </c>
      <c r="B44" t="str">
        <f>CONCATENATE(PROPER('Z_7.3.tájékoztató_t.'!A3)," ",'Z_7.3.tájékoztató_t.'!A4)</f>
        <v>Vagyonkimutatás az érték nélkül nyilvántartott eszkzözkről</v>
      </c>
      <c r="C44" s="664" t="str">
        <f ca="1">HYPERLINK(SUBSTITUTE(CELL("address",'Z_7.3.tájékoztató_t.'!A1),"'",""),SUBSTITUTE(MID(CELL("address",'Z_7.3.tájékoztató_t.'!A1),SEARCH("]",CELL("address",'Z_7.3.tájékoztató_t.'!A1),1)+1,LEN(CELL("address",'Z_7.3.tájékoztató_t.'!A1))-SEARCH("]",CELL("address",'Z_7.3.tájékoztató_t.'!A1),1)),"'",""))</f>
        <v>Z_7.3.tájékoztató_t.!$A$1</v>
      </c>
    </row>
    <row r="45" spans="1:3" ht="12.75">
      <c r="A45" s="663" t="s">
        <v>801</v>
      </c>
      <c r="B45" t="str">
        <f>CONCATENATE('Z_8.tájékoztató_t.'!A2,'Z_8.tájékoztató_t.'!A3)</f>
        <v>Szalánta Községi Önkormányzat tulajdonában álló gazdálkodó szervezetek működéséből származókötelezettségek és részesedések alakulása 2019-ban</v>
      </c>
      <c r="C45" s="664" t="str">
        <f ca="1">HYPERLINK(SUBSTITUTE(CELL("address",'Z_8.tájékoztató_t.'!A1),"'",""),SUBSTITUTE(MID(CELL("address",'Z_8.tájékoztató_t.'!A1),SEARCH("]",CELL("address",'Z_8.tájékoztató_t.'!A1),1)+1,LEN(CELL("address",'Z_8.tájékoztató_t.'!A1))-SEARCH("]",CELL("address",'Z_8.tájékoztató_t.'!A1),1)),"'",""))</f>
        <v>Z_8.tájékoztató_t.!$A$1</v>
      </c>
    </row>
    <row r="46" spans="1:3" ht="12.75">
      <c r="A46" s="663" t="s">
        <v>802</v>
      </c>
      <c r="B46" t="s">
        <v>839</v>
      </c>
      <c r="C46" s="664" t="str">
        <f ca="1">HYPERLINK(SUBSTITUTE(CELL("address",'Z_9.tájékoztató_t.'!A1),"'",""),SUBSTITUTE(MID(CELL("address",'Z_9.tájékoztató_t.'!A1),SEARCH("]",CELL("address",'Z_9.tájékoztató_t.'!A1),1)+1,LEN(CELL("address",'Z_9.tájékoztató_t.'!A1))-SEARCH("]",CELL("address",'Z_9.tájékoztató_t.'!A1),1)),"'",""))</f>
        <v>Z_9.tájékoztató_t.!$A$1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zoomScale="120" zoomScaleNormal="120" workbookViewId="0" topLeftCell="A1">
      <selection activeCell="M24" sqref="M24"/>
    </sheetView>
  </sheetViews>
  <sheetFormatPr defaultColWidth="9.00390625" defaultRowHeight="12.75"/>
  <cols>
    <col min="1" max="1" width="47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32" customWidth="1"/>
    <col min="8" max="8" width="8.125" style="26" bestFit="1" customWidth="1"/>
    <col min="9" max="9" width="13.875" style="26" customWidth="1"/>
    <col min="10" max="16384" width="9.375" style="26" customWidth="1"/>
  </cols>
  <sheetData>
    <row r="1" spans="1:7" ht="15">
      <c r="A1" s="361"/>
      <c r="B1" s="842" t="str">
        <f>CONCATENATE("3. melléklet ",Z_ALAPADATOK!A7," ",Z_ALAPADATOK!B7," ",Z_ALAPADATOK!C7," ",Z_ALAPADATOK!D7," ",Z_ALAPADATOK!E7," ",Z_ALAPADATOK!F7," ",Z_ALAPADATOK!G7," ",Z_ALAPADATOK!H7)</f>
        <v>3. melléklet a 12 / 2020. ( VII.16. ) önkormányzati rendelethez</v>
      </c>
      <c r="C1" s="843"/>
      <c r="D1" s="843"/>
      <c r="E1" s="843"/>
      <c r="F1" s="843"/>
      <c r="G1" s="843"/>
    </row>
    <row r="2" spans="1:7" ht="12.75">
      <c r="A2" s="361"/>
      <c r="B2" s="362"/>
      <c r="C2" s="362"/>
      <c r="D2" s="362"/>
      <c r="E2" s="362"/>
      <c r="F2" s="362"/>
      <c r="G2" s="362"/>
    </row>
    <row r="3" spans="1:7" ht="25.5" customHeight="1">
      <c r="A3" s="841" t="s">
        <v>522</v>
      </c>
      <c r="B3" s="841"/>
      <c r="C3" s="841"/>
      <c r="D3" s="841"/>
      <c r="E3" s="841"/>
      <c r="F3" s="841"/>
      <c r="G3" s="841"/>
    </row>
    <row r="4" spans="1:7" ht="22.5" customHeight="1" thickBot="1">
      <c r="A4" s="361"/>
      <c r="B4" s="362"/>
      <c r="C4" s="362"/>
      <c r="D4" s="362"/>
      <c r="E4" s="362"/>
      <c r="F4" s="362"/>
      <c r="G4" s="363" t="str">
        <f>'Z_2.2.sz.mell'!I2</f>
        <v>Forintban</v>
      </c>
    </row>
    <row r="5" spans="1:8" s="28" customFormat="1" ht="44.25" customHeight="1" thickBot="1">
      <c r="A5" s="364" t="s">
        <v>48</v>
      </c>
      <c r="B5" s="330" t="s">
        <v>49</v>
      </c>
      <c r="C5" s="330" t="s">
        <v>50</v>
      </c>
      <c r="D5" s="330" t="str">
        <f>+CONCATENATE("Felhasználás   ",LEFT(Z_ÖSSZEFÜGGÉSEK!A6,4)-1,". XII. 31-ig")</f>
        <v>Felhasználás   2018. XII. 31-ig</v>
      </c>
      <c r="E5" s="330" t="str">
        <f>+CONCATENATE(LEFT(Z_ÖSSZEFÜGGÉSEK!A6,4),". évi",CHAR(10),"módosított előirányzat")</f>
        <v>2019. évi
módosított előirányzat</v>
      </c>
      <c r="F5" s="330" t="str">
        <f>+CONCATENATE("Teljesítés",CHAR(10),LEFT(Z_ÖSSZEFÜGGÉSEK!A6,4),". XII. 31-ig")</f>
        <v>Teljesítés
2019. XII. 31-ig</v>
      </c>
      <c r="G5" s="331" t="str">
        <f>+CONCATENATE("Összes teljesítés",CHAR(10),LEFT(Z_ÖSSZEFÜGGÉSEK!A6,4),". XII. 31-ig")</f>
        <v>Összes teljesítés
2019. XII. 31-ig</v>
      </c>
      <c r="H5" s="330"/>
    </row>
    <row r="6" spans="1:7" s="32" customFormat="1" ht="12" customHeight="1" thickBot="1">
      <c r="A6" s="365" t="s">
        <v>387</v>
      </c>
      <c r="B6" s="366" t="s">
        <v>388</v>
      </c>
      <c r="C6" s="366" t="s">
        <v>389</v>
      </c>
      <c r="D6" s="366" t="s">
        <v>391</v>
      </c>
      <c r="E6" s="366" t="s">
        <v>390</v>
      </c>
      <c r="F6" s="366" t="s">
        <v>392</v>
      </c>
      <c r="G6" s="367" t="s">
        <v>441</v>
      </c>
    </row>
    <row r="7" spans="1:7" ht="15.75" customHeight="1" thickBot="1">
      <c r="A7" s="221" t="s">
        <v>929</v>
      </c>
      <c r="B7" s="21">
        <v>309580</v>
      </c>
      <c r="C7" s="756" t="s">
        <v>849</v>
      </c>
      <c r="D7" s="21"/>
      <c r="E7" s="21">
        <v>381000</v>
      </c>
      <c r="F7" s="21">
        <v>309580</v>
      </c>
      <c r="G7" s="477">
        <f aca="true" t="shared" si="0" ref="G7:G16">D7+F7</f>
        <v>309580</v>
      </c>
    </row>
    <row r="8" spans="1:7" ht="15.75" customHeight="1" thickBot="1">
      <c r="A8" s="766" t="s">
        <v>905</v>
      </c>
      <c r="B8" s="21">
        <v>149706</v>
      </c>
      <c r="C8" s="756" t="s">
        <v>849</v>
      </c>
      <c r="D8" s="21"/>
      <c r="E8" s="21">
        <v>200000</v>
      </c>
      <c r="F8" s="21">
        <v>149706</v>
      </c>
      <c r="G8" s="477">
        <f t="shared" si="0"/>
        <v>149706</v>
      </c>
    </row>
    <row r="9" spans="1:7" ht="15.75" customHeight="1" thickBot="1">
      <c r="A9" s="766" t="s">
        <v>906</v>
      </c>
      <c r="B9" s="21">
        <v>189386</v>
      </c>
      <c r="C9" s="756" t="s">
        <v>849</v>
      </c>
      <c r="D9" s="21"/>
      <c r="E9" s="21">
        <v>190000</v>
      </c>
      <c r="F9" s="21">
        <v>189386</v>
      </c>
      <c r="G9" s="477">
        <f t="shared" si="0"/>
        <v>189386</v>
      </c>
    </row>
    <row r="10" spans="1:7" ht="15.75" customHeight="1" thickBot="1">
      <c r="A10" s="766" t="s">
        <v>907</v>
      </c>
      <c r="B10" s="21">
        <v>236460</v>
      </c>
      <c r="C10" s="756" t="s">
        <v>849</v>
      </c>
      <c r="D10" s="21"/>
      <c r="E10" s="21">
        <v>300000</v>
      </c>
      <c r="F10" s="21">
        <v>236460</v>
      </c>
      <c r="G10" s="477">
        <f t="shared" si="0"/>
        <v>236460</v>
      </c>
    </row>
    <row r="11" spans="1:7" ht="15.75" customHeight="1" thickBot="1">
      <c r="A11" s="766" t="s">
        <v>908</v>
      </c>
      <c r="B11" s="21">
        <v>81992</v>
      </c>
      <c r="C11" s="756" t="s">
        <v>849</v>
      </c>
      <c r="D11" s="21"/>
      <c r="E11" s="21">
        <v>85000</v>
      </c>
      <c r="F11" s="21">
        <v>81992</v>
      </c>
      <c r="G11" s="477">
        <f t="shared" si="0"/>
        <v>81992</v>
      </c>
    </row>
    <row r="12" spans="1:7" ht="15.75" customHeight="1" thickBot="1">
      <c r="A12" s="766" t="s">
        <v>915</v>
      </c>
      <c r="B12" s="21">
        <v>234360</v>
      </c>
      <c r="C12" s="756" t="s">
        <v>849</v>
      </c>
      <c r="D12" s="21"/>
      <c r="E12" s="21">
        <v>250000</v>
      </c>
      <c r="F12" s="21">
        <v>234360</v>
      </c>
      <c r="G12" s="477">
        <f t="shared" si="0"/>
        <v>234360</v>
      </c>
    </row>
    <row r="13" spans="1:7" ht="15.75" customHeight="1" thickBot="1">
      <c r="A13" s="766" t="s">
        <v>909</v>
      </c>
      <c r="B13" s="21">
        <v>122002</v>
      </c>
      <c r="C13" s="756" t="s">
        <v>849</v>
      </c>
      <c r="D13" s="21"/>
      <c r="E13" s="21">
        <v>127000</v>
      </c>
      <c r="F13" s="21">
        <v>122002</v>
      </c>
      <c r="G13" s="477">
        <f t="shared" si="0"/>
        <v>122002</v>
      </c>
    </row>
    <row r="14" spans="1:7" ht="15.75" customHeight="1">
      <c r="A14" s="765" t="s">
        <v>910</v>
      </c>
      <c r="B14" s="21">
        <v>79990</v>
      </c>
      <c r="C14" s="756" t="s">
        <v>849</v>
      </c>
      <c r="D14" s="21"/>
      <c r="E14" s="21">
        <v>80000</v>
      </c>
      <c r="F14" s="21">
        <v>79990</v>
      </c>
      <c r="G14" s="477">
        <f t="shared" si="0"/>
        <v>79990</v>
      </c>
    </row>
    <row r="15" spans="1:7" ht="23.25" customHeight="1">
      <c r="A15" s="221"/>
      <c r="B15" s="21"/>
      <c r="C15" s="222"/>
      <c r="D15" s="21"/>
      <c r="E15" s="21"/>
      <c r="F15" s="21"/>
      <c r="G15" s="477">
        <f t="shared" si="0"/>
        <v>0</v>
      </c>
    </row>
    <row r="16" spans="1:7" ht="15.75" customHeight="1">
      <c r="A16" s="221"/>
      <c r="B16" s="21"/>
      <c r="C16" s="222"/>
      <c r="D16" s="21"/>
      <c r="E16" s="21"/>
      <c r="F16" s="21"/>
      <c r="G16" s="477">
        <f t="shared" si="0"/>
        <v>0</v>
      </c>
    </row>
    <row r="17" spans="1:7" ht="15.75" customHeight="1" thickBot="1">
      <c r="A17" s="757"/>
      <c r="B17" s="758"/>
      <c r="C17" s="759"/>
      <c r="D17" s="758"/>
      <c r="E17" s="758"/>
      <c r="F17" s="758"/>
      <c r="G17" s="760">
        <f>B17-D17-F17</f>
        <v>0</v>
      </c>
    </row>
    <row r="18" spans="1:7" s="36" customFormat="1" ht="18" customHeight="1" thickBot="1">
      <c r="A18" s="70" t="s">
        <v>47</v>
      </c>
      <c r="B18" s="34">
        <f>SUM(B7:B17)</f>
        <v>1403476</v>
      </c>
      <c r="C18" s="53"/>
      <c r="D18" s="34">
        <f>SUM(D7:D17)</f>
        <v>0</v>
      </c>
      <c r="E18" s="34">
        <f>SUM(E7:E17)</f>
        <v>1613000</v>
      </c>
      <c r="F18" s="34">
        <f>SUM(F7:F17)</f>
        <v>1403476</v>
      </c>
      <c r="G18" s="35">
        <f>SUM(G7:G17)</f>
        <v>1403476</v>
      </c>
    </row>
  </sheetData>
  <sheetProtection selectLockedCells="1" selectUnlockedCells="1"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B10" sqref="B10"/>
    </sheetView>
  </sheetViews>
  <sheetFormatPr defaultColWidth="9.00390625" defaultRowHeight="12.75"/>
  <cols>
    <col min="1" max="1" width="54.125" style="27" customWidth="1"/>
    <col min="2" max="2" width="15.625" style="26" customWidth="1"/>
    <col min="3" max="3" width="16.375" style="26" customWidth="1"/>
    <col min="4" max="5" width="18.00390625" style="26" customWidth="1"/>
    <col min="6" max="6" width="16.625" style="26" customWidth="1"/>
    <col min="7" max="7" width="18.875" style="26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15">
      <c r="A1" s="361"/>
      <c r="B1" s="842" t="str">
        <f>CONCATENATE("4. melléklet ",Z_ALAPADATOK!A7," ",Z_ALAPADATOK!B7," ",Z_ALAPADATOK!C7," ",Z_ALAPADATOK!D7," ",Z_ALAPADATOK!E7," ",Z_ALAPADATOK!F7," ",Z_ALAPADATOK!G7," ",Z_ALAPADATOK!H7)</f>
        <v>4. melléklet a 12 / 2020. ( VII.16. ) önkormányzati rendelethez</v>
      </c>
      <c r="C1" s="842"/>
      <c r="D1" s="842"/>
      <c r="E1" s="842"/>
      <c r="F1" s="842"/>
      <c r="G1" s="842"/>
    </row>
    <row r="2" spans="1:7" ht="12.75">
      <c r="A2" s="361"/>
      <c r="B2" s="362"/>
      <c r="C2" s="362"/>
      <c r="D2" s="362"/>
      <c r="E2" s="362"/>
      <c r="F2" s="362"/>
      <c r="G2" s="362"/>
    </row>
    <row r="3" spans="1:7" ht="24.75" customHeight="1">
      <c r="A3" s="841" t="s">
        <v>523</v>
      </c>
      <c r="B3" s="841"/>
      <c r="C3" s="841"/>
      <c r="D3" s="841"/>
      <c r="E3" s="841"/>
      <c r="F3" s="841"/>
      <c r="G3" s="841"/>
    </row>
    <row r="4" spans="1:7" ht="23.25" customHeight="1" thickBot="1">
      <c r="A4" s="361"/>
      <c r="B4" s="362"/>
      <c r="C4" s="362"/>
      <c r="D4" s="362"/>
      <c r="E4" s="362"/>
      <c r="F4" s="362"/>
      <c r="G4" s="363" t="str">
        <f>'Z_3.sz.mell.'!G4</f>
        <v>Forintban</v>
      </c>
    </row>
    <row r="5" spans="1:7" s="28" customFormat="1" ht="48.75" customHeight="1" thickBot="1">
      <c r="A5" s="364" t="s">
        <v>51</v>
      </c>
      <c r="B5" s="330" t="s">
        <v>49</v>
      </c>
      <c r="C5" s="330" t="s">
        <v>50</v>
      </c>
      <c r="D5" s="330" t="str">
        <f>+'Z_3.sz.mell.'!D5</f>
        <v>Felhasználás   2018. XII. 31-ig</v>
      </c>
      <c r="E5" s="330" t="str">
        <f>+CONCATENATE(LEFT(Z_ÖSSZEFÜGGÉSEK!A6,4),". évi",CHAR(10),"módosított előirányzat")</f>
        <v>2019. évi
módosított előirányzat</v>
      </c>
      <c r="F5" s="330" t="str">
        <f>+CONCATENATE("Teljesítés",CHAR(10),LEFT(Z_ÖSSZEFÜGGÉSEK!A6,4),". XII. 31-ig")</f>
        <v>Teljesítés
2019. XII. 31-ig</v>
      </c>
      <c r="G5" s="331" t="str">
        <f>+CONCATENATE("Összes teljesítés",CHAR(10),LEFT(Z_ÖSSZEFÜGGÉSEK!A6,4),". XII. 31-ig")</f>
        <v>Összes teljesítés
2019. XII. 31-ig</v>
      </c>
    </row>
    <row r="6" spans="1:7" s="32" customFormat="1" ht="15" customHeight="1" thickBot="1">
      <c r="A6" s="365" t="s">
        <v>387</v>
      </c>
      <c r="B6" s="366" t="s">
        <v>388</v>
      </c>
      <c r="C6" s="366" t="s">
        <v>389</v>
      </c>
      <c r="D6" s="366" t="s">
        <v>391</v>
      </c>
      <c r="E6" s="366" t="s">
        <v>390</v>
      </c>
      <c r="F6" s="366" t="s">
        <v>392</v>
      </c>
      <c r="G6" s="367" t="s">
        <v>441</v>
      </c>
    </row>
    <row r="7" spans="1:7" ht="15.75" customHeight="1">
      <c r="A7" s="221" t="s">
        <v>885</v>
      </c>
      <c r="B7" s="21">
        <v>3233220</v>
      </c>
      <c r="C7" s="223" t="s">
        <v>849</v>
      </c>
      <c r="D7" s="38">
        <v>0</v>
      </c>
      <c r="E7" s="38">
        <v>3250000</v>
      </c>
      <c r="F7" s="692">
        <v>3233220</v>
      </c>
      <c r="G7" s="693">
        <f>D7+F7</f>
        <v>3233220</v>
      </c>
    </row>
    <row r="8" spans="1:7" ht="15.75" customHeight="1">
      <c r="A8" s="221" t="s">
        <v>911</v>
      </c>
      <c r="B8" s="21">
        <v>2332023</v>
      </c>
      <c r="C8" s="223" t="s">
        <v>849</v>
      </c>
      <c r="D8" s="38"/>
      <c r="E8" s="38">
        <v>2400000</v>
      </c>
      <c r="F8" s="692">
        <v>2332023</v>
      </c>
      <c r="G8" s="693">
        <f>D8+F8</f>
        <v>2332023</v>
      </c>
    </row>
    <row r="9" spans="1:7" ht="15.75" customHeight="1">
      <c r="A9" s="221" t="s">
        <v>912</v>
      </c>
      <c r="B9" s="21">
        <v>72800</v>
      </c>
      <c r="C9" s="223" t="s">
        <v>849</v>
      </c>
      <c r="D9" s="38"/>
      <c r="E9" s="38">
        <v>100000</v>
      </c>
      <c r="F9" s="692">
        <v>72800</v>
      </c>
      <c r="G9" s="693">
        <f>D9+F9</f>
        <v>72800</v>
      </c>
    </row>
    <row r="10" spans="1:7" ht="15.75" customHeight="1">
      <c r="A10" s="37"/>
      <c r="B10" s="38"/>
      <c r="C10" s="223"/>
      <c r="D10" s="38"/>
      <c r="E10" s="38"/>
      <c r="F10" s="38"/>
      <c r="G10" s="693">
        <f>D10+F10</f>
        <v>0</v>
      </c>
    </row>
    <row r="11" spans="1:7" ht="15.75" customHeight="1">
      <c r="A11" s="37"/>
      <c r="B11" s="38"/>
      <c r="C11" s="223"/>
      <c r="D11" s="38"/>
      <c r="E11" s="38"/>
      <c r="F11" s="38"/>
      <c r="G11" s="39">
        <f>B11-D11-F11</f>
        <v>0</v>
      </c>
    </row>
    <row r="12" spans="1:7" ht="15.75" customHeight="1">
      <c r="A12" s="37"/>
      <c r="B12" s="38"/>
      <c r="C12" s="223"/>
      <c r="D12" s="38"/>
      <c r="E12" s="38"/>
      <c r="F12" s="38"/>
      <c r="G12" s="39">
        <f>B12-D12-F12</f>
        <v>0</v>
      </c>
    </row>
    <row r="13" spans="1:7" ht="15.75" customHeight="1" thickBot="1">
      <c r="A13" s="40"/>
      <c r="B13" s="41"/>
      <c r="C13" s="224"/>
      <c r="D13" s="41"/>
      <c r="E13" s="41"/>
      <c r="F13" s="41"/>
      <c r="G13" s="42">
        <f>B13-D13-F13</f>
        <v>0</v>
      </c>
    </row>
    <row r="14" spans="1:7" s="36" customFormat="1" ht="18" customHeight="1" thickBot="1">
      <c r="A14" s="70" t="s">
        <v>47</v>
      </c>
      <c r="B14" s="71">
        <f>SUM(B7:B13)</f>
        <v>5638043</v>
      </c>
      <c r="C14" s="54"/>
      <c r="D14" s="71">
        <f>SUM(D7:D13)</f>
        <v>0</v>
      </c>
      <c r="E14" s="71">
        <f>SUM(E7:E13)</f>
        <v>5750000</v>
      </c>
      <c r="F14" s="71">
        <f>SUM(F7:F13)</f>
        <v>5638043</v>
      </c>
      <c r="G14" s="43">
        <f>SUM(G7:G13)</f>
        <v>5638043</v>
      </c>
    </row>
  </sheetData>
  <sheetProtection selectLockedCells="1" selectUnlockedCells="1"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zoomScale="120" zoomScaleNormal="120" zoomScaleSheetLayoutView="100" workbookViewId="0" topLeftCell="A1">
      <selection activeCell="A6" sqref="A6:A9"/>
    </sheetView>
  </sheetViews>
  <sheetFormatPr defaultColWidth="9.00390625" defaultRowHeight="12.75"/>
  <cols>
    <col min="1" max="1" width="28.50390625" style="30" customWidth="1"/>
    <col min="2" max="13" width="10.00390625" style="30" customWidth="1"/>
    <col min="14" max="14" width="4.00390625" style="30" customWidth="1"/>
    <col min="15" max="16384" width="9.375" style="30" customWidth="1"/>
  </cols>
  <sheetData>
    <row r="1" spans="1:13" ht="15">
      <c r="A1" s="869" t="str">
        <f>CONCATENATE("5.1 melléklet ",Z_ALAPADATOK!A7," ",Z_ALAPADATOK!B7," ",Z_ALAPADATOK!C7," ",Z_ALAPADATOK!D7," ",Z_ALAPADATOK!E7," ",Z_ALAPADATOK!F7," ",Z_ALAPADATOK!G7," ",Z_ALAPADATOK!H7)</f>
        <v>5.1 melléklet a 12 / 2020. ( VII.16. ) önkormányzati rendelethez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</row>
    <row r="2" spans="1:13" ht="15.75">
      <c r="A2" s="870" t="s">
        <v>524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</row>
    <row r="3" spans="1:13" ht="15.75">
      <c r="A3" s="871" t="s">
        <v>886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</row>
    <row r="4" spans="1:14" ht="15.75" customHeight="1">
      <c r="A4" s="868" t="s">
        <v>887</v>
      </c>
      <c r="B4" s="868"/>
      <c r="C4" s="868"/>
      <c r="D4" s="856" t="s">
        <v>904</v>
      </c>
      <c r="E4" s="856"/>
      <c r="F4" s="856"/>
      <c r="G4" s="856"/>
      <c r="H4" s="856"/>
      <c r="I4" s="856"/>
      <c r="J4" s="856"/>
      <c r="K4" s="856"/>
      <c r="L4" s="856"/>
      <c r="M4" s="856"/>
      <c r="N4" s="844"/>
    </row>
    <row r="5" spans="1:14" ht="15.75" thickBot="1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845" t="s">
        <v>850</v>
      </c>
      <c r="M5" s="845"/>
      <c r="N5" s="844"/>
    </row>
    <row r="6" spans="1:14" ht="13.5" thickBot="1">
      <c r="A6" s="846" t="s">
        <v>84</v>
      </c>
      <c r="B6" s="849" t="s">
        <v>442</v>
      </c>
      <c r="C6" s="849"/>
      <c r="D6" s="849"/>
      <c r="E6" s="849"/>
      <c r="F6" s="849"/>
      <c r="G6" s="849"/>
      <c r="H6" s="849"/>
      <c r="I6" s="849"/>
      <c r="J6" s="850" t="s">
        <v>443</v>
      </c>
      <c r="K6" s="850"/>
      <c r="L6" s="850"/>
      <c r="M6" s="850"/>
      <c r="N6" s="844"/>
    </row>
    <row r="7" spans="1:14" ht="15" customHeight="1" thickBot="1">
      <c r="A7" s="847"/>
      <c r="B7" s="859" t="s">
        <v>444</v>
      </c>
      <c r="C7" s="863" t="s">
        <v>445</v>
      </c>
      <c r="D7" s="862" t="s">
        <v>446</v>
      </c>
      <c r="E7" s="862"/>
      <c r="F7" s="862"/>
      <c r="G7" s="862"/>
      <c r="H7" s="862"/>
      <c r="I7" s="862"/>
      <c r="J7" s="851"/>
      <c r="K7" s="851"/>
      <c r="L7" s="851"/>
      <c r="M7" s="851"/>
      <c r="N7" s="844"/>
    </row>
    <row r="8" spans="1:14" ht="21.75" thickBot="1">
      <c r="A8" s="847"/>
      <c r="B8" s="859"/>
      <c r="C8" s="863"/>
      <c r="D8" s="280" t="s">
        <v>444</v>
      </c>
      <c r="E8" s="280" t="s">
        <v>445</v>
      </c>
      <c r="F8" s="280" t="s">
        <v>444</v>
      </c>
      <c r="G8" s="280" t="s">
        <v>445</v>
      </c>
      <c r="H8" s="280" t="s">
        <v>444</v>
      </c>
      <c r="I8" s="280" t="s">
        <v>445</v>
      </c>
      <c r="J8" s="851"/>
      <c r="K8" s="851"/>
      <c r="L8" s="851"/>
      <c r="M8" s="851"/>
      <c r="N8" s="844"/>
    </row>
    <row r="9" spans="1:14" ht="32.25" thickBot="1">
      <c r="A9" s="848"/>
      <c r="B9" s="863" t="s">
        <v>447</v>
      </c>
      <c r="C9" s="863"/>
      <c r="D9" s="863" t="str">
        <f>+CONCATENATE(LEFT(Z_ÖSSZEFÜGGÉSEK!A6,4),". előtt")</f>
        <v>2019. előtt</v>
      </c>
      <c r="E9" s="863"/>
      <c r="F9" s="867" t="str">
        <f>+CONCATENATE(LEFT(Z_ÖSSZEFÜGGÉSEK!A6,4),". XII.31.")</f>
        <v>2019. XII.31.</v>
      </c>
      <c r="G9" s="867"/>
      <c r="H9" s="859" t="str">
        <f>+CONCATENATE(LEFT(Z_ÖSSZEFÜGGÉSEK!A6,4),". után")</f>
        <v>2019. után</v>
      </c>
      <c r="I9" s="859"/>
      <c r="J9" s="333" t="str">
        <f>+D9</f>
        <v>2019. előtt</v>
      </c>
      <c r="K9" s="332" t="str">
        <f>+F9</f>
        <v>2019. XII.31.</v>
      </c>
      <c r="L9" s="279" t="s">
        <v>37</v>
      </c>
      <c r="M9" s="332" t="str">
        <f>+CONCATENATE("Teljesítés %-a ",LEFT(Z_ÖSSZEFÜGGÉSEK!A6,4),". XII. 31-ig")</f>
        <v>Teljesítés %-a 2019. XII. 31-ig</v>
      </c>
      <c r="N9" s="844"/>
    </row>
    <row r="10" spans="1:14" ht="13.5" thickBot="1">
      <c r="A10" s="281" t="s">
        <v>387</v>
      </c>
      <c r="B10" s="279" t="s">
        <v>388</v>
      </c>
      <c r="C10" s="279" t="s">
        <v>389</v>
      </c>
      <c r="D10" s="282" t="s">
        <v>391</v>
      </c>
      <c r="E10" s="280" t="s">
        <v>390</v>
      </c>
      <c r="F10" s="280" t="s">
        <v>392</v>
      </c>
      <c r="G10" s="280" t="s">
        <v>393</v>
      </c>
      <c r="H10" s="279" t="s">
        <v>394</v>
      </c>
      <c r="I10" s="282" t="s">
        <v>421</v>
      </c>
      <c r="J10" s="282" t="s">
        <v>448</v>
      </c>
      <c r="K10" s="282" t="s">
        <v>449</v>
      </c>
      <c r="L10" s="282" t="s">
        <v>450</v>
      </c>
      <c r="M10" s="283" t="s">
        <v>451</v>
      </c>
      <c r="N10" s="844"/>
    </row>
    <row r="11" spans="1:14" ht="12.75">
      <c r="A11" s="729" t="s">
        <v>85</v>
      </c>
      <c r="B11" s="730"/>
      <c r="C11" s="731"/>
      <c r="D11" s="731"/>
      <c r="E11" s="732"/>
      <c r="F11" s="731"/>
      <c r="G11" s="731"/>
      <c r="H11" s="731"/>
      <c r="I11" s="731"/>
      <c r="J11" s="731"/>
      <c r="K11" s="731"/>
      <c r="L11" s="733">
        <f aca="true" t="shared" si="0" ref="L11:L17">+J11+K11</f>
        <v>0</v>
      </c>
      <c r="M11" s="761">
        <f>IF((C11&lt;&gt;0),ROUND((L11/C11)*100,1),"")</f>
      </c>
      <c r="N11" s="844"/>
    </row>
    <row r="12" spans="1:14" ht="12.75">
      <c r="A12" s="735" t="s">
        <v>97</v>
      </c>
      <c r="B12" s="736"/>
      <c r="C12" s="737"/>
      <c r="D12" s="737"/>
      <c r="E12" s="737"/>
      <c r="F12" s="737"/>
      <c r="G12" s="737"/>
      <c r="H12" s="737"/>
      <c r="I12" s="737"/>
      <c r="J12" s="737"/>
      <c r="K12" s="737"/>
      <c r="L12" s="738">
        <f t="shared" si="0"/>
        <v>0</v>
      </c>
      <c r="M12" s="762">
        <f aca="true" t="shared" si="1" ref="M12:M17">IF((C12&lt;&gt;0),ROUND((L12/C12)*100,1),"")</f>
      </c>
      <c r="N12" s="844"/>
    </row>
    <row r="13" spans="1:14" ht="12.75">
      <c r="A13" s="740" t="s">
        <v>86</v>
      </c>
      <c r="B13" s="741">
        <v>330278639</v>
      </c>
      <c r="C13" s="741">
        <v>330278639</v>
      </c>
      <c r="D13" s="742">
        <v>310516901</v>
      </c>
      <c r="E13" s="742">
        <v>310516901</v>
      </c>
      <c r="F13" s="742"/>
      <c r="G13" s="742"/>
      <c r="H13" s="742">
        <v>19761738</v>
      </c>
      <c r="I13" s="742">
        <v>19761738</v>
      </c>
      <c r="J13" s="742"/>
      <c r="K13" s="742">
        <v>310516901</v>
      </c>
      <c r="L13" s="738">
        <f t="shared" si="0"/>
        <v>310516901</v>
      </c>
      <c r="M13" s="762">
        <f>L13/B13</f>
        <v>0.9401664665331263</v>
      </c>
      <c r="N13" s="844"/>
    </row>
    <row r="14" spans="1:14" ht="12.75">
      <c r="A14" s="740" t="s">
        <v>98</v>
      </c>
      <c r="B14" s="741"/>
      <c r="C14" s="742"/>
      <c r="D14" s="742"/>
      <c r="E14" s="742"/>
      <c r="F14" s="742"/>
      <c r="G14" s="742"/>
      <c r="H14" s="742"/>
      <c r="I14" s="742"/>
      <c r="J14" s="742"/>
      <c r="K14" s="742"/>
      <c r="L14" s="738">
        <f t="shared" si="0"/>
        <v>0</v>
      </c>
      <c r="M14" s="762">
        <f t="shared" si="1"/>
      </c>
      <c r="N14" s="844"/>
    </row>
    <row r="15" spans="1:14" ht="12.75">
      <c r="A15" s="740" t="s">
        <v>87</v>
      </c>
      <c r="B15" s="741"/>
      <c r="C15" s="742"/>
      <c r="D15" s="742"/>
      <c r="E15" s="742"/>
      <c r="F15" s="742"/>
      <c r="G15" s="742"/>
      <c r="H15" s="742"/>
      <c r="I15" s="742"/>
      <c r="J15" s="742"/>
      <c r="K15" s="742"/>
      <c r="L15" s="738">
        <f t="shared" si="0"/>
        <v>0</v>
      </c>
      <c r="M15" s="762">
        <f t="shared" si="1"/>
      </c>
      <c r="N15" s="844"/>
    </row>
    <row r="16" spans="1:14" ht="12.75">
      <c r="A16" s="740" t="s">
        <v>88</v>
      </c>
      <c r="B16" s="741"/>
      <c r="C16" s="742"/>
      <c r="D16" s="742"/>
      <c r="E16" s="742"/>
      <c r="F16" s="742"/>
      <c r="G16" s="742"/>
      <c r="H16" s="742"/>
      <c r="I16" s="742"/>
      <c r="J16" s="742"/>
      <c r="K16" s="742"/>
      <c r="L16" s="738">
        <f t="shared" si="0"/>
        <v>0</v>
      </c>
      <c r="M16" s="762">
        <f t="shared" si="1"/>
      </c>
      <c r="N16" s="844"/>
    </row>
    <row r="17" spans="1:14" ht="15" customHeight="1" thickBot="1">
      <c r="A17" s="743"/>
      <c r="B17" s="744"/>
      <c r="C17" s="745"/>
      <c r="D17" s="745"/>
      <c r="E17" s="745"/>
      <c r="F17" s="745"/>
      <c r="G17" s="745"/>
      <c r="H17" s="745"/>
      <c r="I17" s="745"/>
      <c r="J17" s="745"/>
      <c r="K17" s="745"/>
      <c r="L17" s="738">
        <f t="shared" si="0"/>
        <v>0</v>
      </c>
      <c r="M17" s="763">
        <f t="shared" si="1"/>
      </c>
      <c r="N17" s="844"/>
    </row>
    <row r="18" spans="1:14" ht="13.5" thickBot="1">
      <c r="A18" s="747" t="s">
        <v>90</v>
      </c>
      <c r="B18" s="748">
        <f>B11+SUM(B13:B17)</f>
        <v>330278639</v>
      </c>
      <c r="C18" s="748">
        <f aca="true" t="shared" si="2" ref="C18:L18">C11+SUM(C13:C17)</f>
        <v>330278639</v>
      </c>
      <c r="D18" s="748">
        <f t="shared" si="2"/>
        <v>310516901</v>
      </c>
      <c r="E18" s="748">
        <f t="shared" si="2"/>
        <v>310516901</v>
      </c>
      <c r="F18" s="748">
        <f t="shared" si="2"/>
        <v>0</v>
      </c>
      <c r="G18" s="748">
        <f t="shared" si="2"/>
        <v>0</v>
      </c>
      <c r="H18" s="748">
        <f t="shared" si="2"/>
        <v>19761738</v>
      </c>
      <c r="I18" s="748">
        <f t="shared" si="2"/>
        <v>19761738</v>
      </c>
      <c r="J18" s="748">
        <f t="shared" si="2"/>
        <v>0</v>
      </c>
      <c r="K18" s="748">
        <f t="shared" si="2"/>
        <v>310516901</v>
      </c>
      <c r="L18" s="748">
        <f t="shared" si="2"/>
        <v>310516901</v>
      </c>
      <c r="M18" s="764">
        <v>0.9402</v>
      </c>
      <c r="N18" s="844"/>
    </row>
    <row r="19" spans="1:14" ht="12.75">
      <c r="A19" s="291"/>
      <c r="B19" s="292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844"/>
    </row>
    <row r="20" spans="1:14" ht="13.5" thickBot="1">
      <c r="A20" s="294" t="s">
        <v>89</v>
      </c>
      <c r="B20" s="295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844"/>
    </row>
    <row r="21" spans="1:14" ht="12.75">
      <c r="A21" s="750" t="s">
        <v>93</v>
      </c>
      <c r="B21" s="730"/>
      <c r="C21" s="731"/>
      <c r="D21" s="731"/>
      <c r="E21" s="732"/>
      <c r="F21" s="731"/>
      <c r="G21" s="731"/>
      <c r="H21" s="731"/>
      <c r="I21" s="731"/>
      <c r="J21" s="731"/>
      <c r="K21" s="731"/>
      <c r="L21" s="751">
        <f>+J21+K21</f>
        <v>0</v>
      </c>
      <c r="M21" s="734">
        <f aca="true" t="shared" si="3" ref="M21:M26">IF((C21&lt;&gt;0),ROUND((L21/C21)*100,1),"")</f>
      </c>
      <c r="N21" s="844"/>
    </row>
    <row r="22" spans="1:14" ht="12.75">
      <c r="A22" s="752" t="s">
        <v>94</v>
      </c>
      <c r="B22" s="736">
        <v>318153639</v>
      </c>
      <c r="C22" s="736">
        <v>318153639</v>
      </c>
      <c r="D22" s="742"/>
      <c r="E22" s="742"/>
      <c r="F22" s="742"/>
      <c r="G22" s="742"/>
      <c r="H22" s="742">
        <v>318153639</v>
      </c>
      <c r="I22" s="742">
        <v>318153639</v>
      </c>
      <c r="J22" s="742"/>
      <c r="K22" s="742"/>
      <c r="L22" s="753">
        <f>+J22+K22</f>
        <v>0</v>
      </c>
      <c r="M22" s="739">
        <f t="shared" si="3"/>
        <v>0</v>
      </c>
      <c r="N22" s="844"/>
    </row>
    <row r="23" spans="1:14" ht="12.75">
      <c r="A23" s="752" t="s">
        <v>95</v>
      </c>
      <c r="B23" s="741">
        <v>12125000</v>
      </c>
      <c r="C23" s="741">
        <v>12125000</v>
      </c>
      <c r="D23" s="742"/>
      <c r="E23" s="742"/>
      <c r="F23" s="742"/>
      <c r="G23" s="742"/>
      <c r="H23" s="742">
        <v>12125000</v>
      </c>
      <c r="I23" s="742">
        <v>12125000</v>
      </c>
      <c r="J23" s="742"/>
      <c r="K23" s="742"/>
      <c r="L23" s="753">
        <f>+J23+K23</f>
        <v>0</v>
      </c>
      <c r="M23" s="739">
        <f t="shared" si="3"/>
        <v>0</v>
      </c>
      <c r="N23" s="844"/>
    </row>
    <row r="24" spans="1:14" ht="12.75">
      <c r="A24" s="752" t="s">
        <v>96</v>
      </c>
      <c r="B24" s="741"/>
      <c r="C24" s="742"/>
      <c r="D24" s="742"/>
      <c r="E24" s="742"/>
      <c r="F24" s="742"/>
      <c r="G24" s="742"/>
      <c r="H24" s="742"/>
      <c r="I24" s="742"/>
      <c r="J24" s="742"/>
      <c r="K24" s="742"/>
      <c r="L24" s="753">
        <f>+J24+K24</f>
        <v>0</v>
      </c>
      <c r="M24" s="739">
        <f t="shared" si="3"/>
      </c>
      <c r="N24" s="844"/>
    </row>
    <row r="25" spans="1:14" ht="13.5" thickBot="1">
      <c r="A25" s="754"/>
      <c r="B25" s="744"/>
      <c r="C25" s="745"/>
      <c r="D25" s="745"/>
      <c r="E25" s="745"/>
      <c r="F25" s="745"/>
      <c r="G25" s="745"/>
      <c r="H25" s="745"/>
      <c r="I25" s="745"/>
      <c r="J25" s="745"/>
      <c r="K25" s="745"/>
      <c r="L25" s="753">
        <f>+J25+K25</f>
        <v>0</v>
      </c>
      <c r="M25" s="746">
        <f t="shared" si="3"/>
      </c>
      <c r="N25" s="844"/>
    </row>
    <row r="26" spans="1:14" ht="13.5" thickBot="1">
      <c r="A26" s="755" t="s">
        <v>75</v>
      </c>
      <c r="B26" s="748">
        <f aca="true" t="shared" si="4" ref="B26:L26">SUM(B21:B25)</f>
        <v>330278639</v>
      </c>
      <c r="C26" s="748">
        <f t="shared" si="4"/>
        <v>330278639</v>
      </c>
      <c r="D26" s="748">
        <f t="shared" si="4"/>
        <v>0</v>
      </c>
      <c r="E26" s="748">
        <f t="shared" si="4"/>
        <v>0</v>
      </c>
      <c r="F26" s="748">
        <f t="shared" si="4"/>
        <v>0</v>
      </c>
      <c r="G26" s="748">
        <f t="shared" si="4"/>
        <v>0</v>
      </c>
      <c r="H26" s="748">
        <f t="shared" si="4"/>
        <v>330278639</v>
      </c>
      <c r="I26" s="748">
        <f t="shared" si="4"/>
        <v>330278639</v>
      </c>
      <c r="J26" s="748">
        <f t="shared" si="4"/>
        <v>0</v>
      </c>
      <c r="K26" s="748">
        <f t="shared" si="4"/>
        <v>0</v>
      </c>
      <c r="L26" s="748">
        <f t="shared" si="4"/>
        <v>0</v>
      </c>
      <c r="M26" s="749">
        <f t="shared" si="3"/>
        <v>0</v>
      </c>
      <c r="N26" s="844"/>
    </row>
    <row r="27" spans="1:14" ht="12.75">
      <c r="A27" s="864" t="s">
        <v>520</v>
      </c>
      <c r="B27" s="864"/>
      <c r="C27" s="864"/>
      <c r="D27" s="864"/>
      <c r="E27" s="864"/>
      <c r="F27" s="864"/>
      <c r="G27" s="864"/>
      <c r="H27" s="864"/>
      <c r="I27" s="864"/>
      <c r="J27" s="864"/>
      <c r="K27" s="864"/>
      <c r="L27" s="864"/>
      <c r="M27" s="864"/>
      <c r="N27" s="844"/>
    </row>
    <row r="28" spans="1:14" ht="5.25" customHeight="1">
      <c r="A28" s="301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844"/>
    </row>
    <row r="29" spans="1:14" ht="15.75">
      <c r="A29" s="866" t="str">
        <f>+CONCATENATE("Önkormányzaton kívüli EU-s projekthez történő hozzájárulás ",LEFT(Z_ÖSSZEFÜGGÉSEK!A6,4),". XII. 31.  előirányzata és teljesítése")</f>
        <v>Önkormányzaton kívüli EU-s projekthez történő hozzájárulás 2019. XII. 31.  előirányzata és teljesítése</v>
      </c>
      <c r="B29" s="866"/>
      <c r="C29" s="866"/>
      <c r="D29" s="866"/>
      <c r="E29" s="866"/>
      <c r="F29" s="866"/>
      <c r="G29" s="866"/>
      <c r="H29" s="866"/>
      <c r="I29" s="866"/>
      <c r="J29" s="866"/>
      <c r="K29" s="866"/>
      <c r="L29" s="866"/>
      <c r="M29" s="866"/>
      <c r="N29" s="844"/>
    </row>
    <row r="30" spans="1:14" ht="12" customHeight="1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865" t="str">
        <f>L5</f>
        <v>Forintban</v>
      </c>
      <c r="M30" s="865"/>
      <c r="N30" s="844"/>
    </row>
    <row r="31" spans="1:14" ht="21.75" thickBot="1">
      <c r="A31" s="857" t="s">
        <v>91</v>
      </c>
      <c r="B31" s="858"/>
      <c r="C31" s="858"/>
      <c r="D31" s="858"/>
      <c r="E31" s="858"/>
      <c r="F31" s="858"/>
      <c r="G31" s="858"/>
      <c r="H31" s="858"/>
      <c r="I31" s="858"/>
      <c r="J31" s="858"/>
      <c r="K31" s="302" t="s">
        <v>452</v>
      </c>
      <c r="L31" s="302" t="s">
        <v>453</v>
      </c>
      <c r="M31" s="302" t="s">
        <v>443</v>
      </c>
      <c r="N31" s="844"/>
    </row>
    <row r="32" spans="1:14" ht="12.75">
      <c r="A32" s="860"/>
      <c r="B32" s="861"/>
      <c r="C32" s="861"/>
      <c r="D32" s="861"/>
      <c r="E32" s="861"/>
      <c r="F32" s="861"/>
      <c r="G32" s="861"/>
      <c r="H32" s="861"/>
      <c r="I32" s="861"/>
      <c r="J32" s="861"/>
      <c r="K32" s="285"/>
      <c r="L32" s="303"/>
      <c r="M32" s="303"/>
      <c r="N32" s="844"/>
    </row>
    <row r="33" spans="1:14" ht="13.5" thickBot="1">
      <c r="A33" s="854"/>
      <c r="B33" s="855"/>
      <c r="C33" s="855"/>
      <c r="D33" s="855"/>
      <c r="E33" s="855"/>
      <c r="F33" s="855"/>
      <c r="G33" s="855"/>
      <c r="H33" s="855"/>
      <c r="I33" s="855"/>
      <c r="J33" s="855"/>
      <c r="K33" s="304"/>
      <c r="L33" s="289"/>
      <c r="M33" s="289"/>
      <c r="N33" s="844"/>
    </row>
    <row r="34" spans="1:14" ht="13.5" thickBot="1">
      <c r="A34" s="852" t="s">
        <v>519</v>
      </c>
      <c r="B34" s="853"/>
      <c r="C34" s="853"/>
      <c r="D34" s="853"/>
      <c r="E34" s="853"/>
      <c r="F34" s="853"/>
      <c r="G34" s="853"/>
      <c r="H34" s="853"/>
      <c r="I34" s="853"/>
      <c r="J34" s="853"/>
      <c r="K34" s="305">
        <f>SUM(K32:K33)</f>
        <v>0</v>
      </c>
      <c r="L34" s="305">
        <f>SUM(L32:L33)</f>
        <v>0</v>
      </c>
      <c r="M34" s="305">
        <f>SUM(M32:M33)</f>
        <v>0</v>
      </c>
      <c r="N34" s="844"/>
    </row>
    <row r="35" ht="12.75">
      <c r="N35" s="844"/>
    </row>
    <row r="50" ht="12.75">
      <c r="A50" s="31"/>
    </row>
  </sheetData>
  <sheetProtection selectLockedCells="1" selectUnlockedCells="1"/>
  <mergeCells count="24">
    <mergeCell ref="A4:C4"/>
    <mergeCell ref="B7:B8"/>
    <mergeCell ref="B9:C9"/>
    <mergeCell ref="A1:M1"/>
    <mergeCell ref="A2:M2"/>
    <mergeCell ref="A3:M3"/>
    <mergeCell ref="A32:J32"/>
    <mergeCell ref="D7:I7"/>
    <mergeCell ref="D9:E9"/>
    <mergeCell ref="A27:M27"/>
    <mergeCell ref="C7:C8"/>
    <mergeCell ref="L30:M30"/>
    <mergeCell ref="A29:M29"/>
    <mergeCell ref="F9:G9"/>
    <mergeCell ref="N4:N35"/>
    <mergeCell ref="L5:M5"/>
    <mergeCell ref="A6:A9"/>
    <mergeCell ref="B6:I6"/>
    <mergeCell ref="J6:M8"/>
    <mergeCell ref="A34:J34"/>
    <mergeCell ref="A33:J33"/>
    <mergeCell ref="D4:M4"/>
    <mergeCell ref="A31:J31"/>
    <mergeCell ref="H9:I9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O35"/>
  <sheetViews>
    <sheetView zoomScalePageLayoutView="0" workbookViewId="0" topLeftCell="A1">
      <selection activeCell="D4" sqref="D4:M4"/>
    </sheetView>
  </sheetViews>
  <sheetFormatPr defaultColWidth="9.00390625" defaultRowHeight="12.75"/>
  <cols>
    <col min="1" max="1" width="28.875" style="0" customWidth="1"/>
    <col min="2" max="2" width="10.125" style="0" customWidth="1"/>
    <col min="3" max="3" width="10.00390625" style="0" customWidth="1"/>
    <col min="4" max="4" width="10.125" style="0" customWidth="1"/>
    <col min="5" max="8" width="10.00390625" style="0" customWidth="1"/>
    <col min="9" max="9" width="10.125" style="0" customWidth="1"/>
    <col min="10" max="11" width="10.00390625" style="0" customWidth="1"/>
    <col min="12" max="14" width="10.125" style="0" customWidth="1"/>
  </cols>
  <sheetData>
    <row r="1" spans="1:13" ht="15">
      <c r="A1" s="869" t="str">
        <f>CONCATENATE("5.2 melléklet ",Z_ALAPADATOK!A7," ",Z_ALAPADATOK!B7," ",Z_ALAPADATOK!C7," ",Z_ALAPADATOK!D7," ",Z_ALAPADATOK!E7," ",Z_ALAPADATOK!F7," ",Z_ALAPADATOK!G7," ",Z_ALAPADATOK!H7)</f>
        <v>5.2 melléklet a 12 / 2020. ( VII.16. ) önkormányzati rendelethez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</row>
    <row r="2" spans="1:13" ht="15.75">
      <c r="A2" s="870" t="s">
        <v>524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</row>
    <row r="3" spans="1:13" ht="15.75">
      <c r="A3" s="871" t="s">
        <v>886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</row>
    <row r="4" spans="1:13" ht="15.75">
      <c r="A4" s="868" t="s">
        <v>887</v>
      </c>
      <c r="B4" s="868"/>
      <c r="C4" s="868"/>
      <c r="D4" s="856" t="s">
        <v>888</v>
      </c>
      <c r="E4" s="856"/>
      <c r="F4" s="856"/>
      <c r="G4" s="856"/>
      <c r="H4" s="856"/>
      <c r="I4" s="856"/>
      <c r="J4" s="856"/>
      <c r="K4" s="856"/>
      <c r="L4" s="856"/>
      <c r="M4" s="856"/>
    </row>
    <row r="5" spans="1:13" ht="15.75" thickBot="1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845" t="s">
        <v>850</v>
      </c>
      <c r="M5" s="845"/>
    </row>
    <row r="6" spans="1:13" ht="13.5" thickBot="1">
      <c r="A6" s="846" t="s">
        <v>84</v>
      </c>
      <c r="B6" s="849" t="s">
        <v>442</v>
      </c>
      <c r="C6" s="849"/>
      <c r="D6" s="849"/>
      <c r="E6" s="849"/>
      <c r="F6" s="849"/>
      <c r="G6" s="849"/>
      <c r="H6" s="849"/>
      <c r="I6" s="849"/>
      <c r="J6" s="850" t="s">
        <v>443</v>
      </c>
      <c r="K6" s="850"/>
      <c r="L6" s="850"/>
      <c r="M6" s="850"/>
    </row>
    <row r="7" spans="1:13" ht="13.5" thickBot="1">
      <c r="A7" s="847"/>
      <c r="B7" s="859" t="s">
        <v>444</v>
      </c>
      <c r="C7" s="863" t="s">
        <v>445</v>
      </c>
      <c r="D7" s="862" t="s">
        <v>446</v>
      </c>
      <c r="E7" s="862"/>
      <c r="F7" s="862"/>
      <c r="G7" s="862"/>
      <c r="H7" s="862"/>
      <c r="I7" s="862"/>
      <c r="J7" s="851"/>
      <c r="K7" s="851"/>
      <c r="L7" s="851"/>
      <c r="M7" s="851"/>
    </row>
    <row r="8" spans="1:13" ht="21.75" thickBot="1">
      <c r="A8" s="847"/>
      <c r="B8" s="859"/>
      <c r="C8" s="863"/>
      <c r="D8" s="280" t="s">
        <v>444</v>
      </c>
      <c r="E8" s="280" t="s">
        <v>445</v>
      </c>
      <c r="F8" s="280" t="s">
        <v>444</v>
      </c>
      <c r="G8" s="280" t="s">
        <v>445</v>
      </c>
      <c r="H8" s="280" t="s">
        <v>444</v>
      </c>
      <c r="I8" s="280" t="s">
        <v>445</v>
      </c>
      <c r="J8" s="851"/>
      <c r="K8" s="851"/>
      <c r="L8" s="851"/>
      <c r="M8" s="851"/>
    </row>
    <row r="9" spans="1:13" ht="32.25" thickBot="1">
      <c r="A9" s="848"/>
      <c r="B9" s="863" t="s">
        <v>447</v>
      </c>
      <c r="C9" s="863"/>
      <c r="D9" s="863" t="str">
        <f>+CONCATENATE(LEFT(Z_ÖSSZEFÜGGÉSEK!A6,4),". előtt")</f>
        <v>2019. előtt</v>
      </c>
      <c r="E9" s="863"/>
      <c r="F9" s="867" t="str">
        <f>+CONCATENATE(LEFT(Z_ÖSSZEFÜGGÉSEK!A6,4),". XII.31.")</f>
        <v>2019. XII.31.</v>
      </c>
      <c r="G9" s="867"/>
      <c r="H9" s="859" t="str">
        <f>+CONCATENATE(LEFT(Z_ÖSSZEFÜGGÉSEK!A6,4),". után")</f>
        <v>2019. után</v>
      </c>
      <c r="I9" s="859"/>
      <c r="J9" s="333" t="str">
        <f>+D9</f>
        <v>2019. előtt</v>
      </c>
      <c r="K9" s="332" t="str">
        <f>+F9</f>
        <v>2019. XII.31.</v>
      </c>
      <c r="L9" s="279" t="s">
        <v>37</v>
      </c>
      <c r="M9" s="332" t="str">
        <f>+CONCATENATE("Teljesítés %-a ",LEFT(Z_ÖSSZEFÜGGÉSEK!A6,4),". XII. 31-ig")</f>
        <v>Teljesítés %-a 2019. XII. 31-ig</v>
      </c>
    </row>
    <row r="10" spans="1:13" ht="13.5" thickBot="1">
      <c r="A10" s="281" t="s">
        <v>387</v>
      </c>
      <c r="B10" s="279" t="s">
        <v>388</v>
      </c>
      <c r="C10" s="279" t="s">
        <v>389</v>
      </c>
      <c r="D10" s="282" t="s">
        <v>391</v>
      </c>
      <c r="E10" s="280" t="s">
        <v>390</v>
      </c>
      <c r="F10" s="280" t="s">
        <v>392</v>
      </c>
      <c r="G10" s="280" t="s">
        <v>393</v>
      </c>
      <c r="H10" s="279" t="s">
        <v>394</v>
      </c>
      <c r="I10" s="282" t="s">
        <v>421</v>
      </c>
      <c r="J10" s="282" t="s">
        <v>448</v>
      </c>
      <c r="K10" s="282" t="s">
        <v>449</v>
      </c>
      <c r="L10" s="282" t="s">
        <v>450</v>
      </c>
      <c r="M10" s="283" t="s">
        <v>451</v>
      </c>
    </row>
    <row r="11" spans="1:13" ht="12.75">
      <c r="A11" s="284" t="s">
        <v>85</v>
      </c>
      <c r="B11" s="711"/>
      <c r="C11" s="712"/>
      <c r="D11" s="712"/>
      <c r="E11" s="285"/>
      <c r="F11" s="712"/>
      <c r="G11" s="712"/>
      <c r="H11" s="712"/>
      <c r="I11" s="712"/>
      <c r="J11" s="712"/>
      <c r="K11" s="712"/>
      <c r="L11" s="713">
        <f aca="true" t="shared" si="0" ref="L11:L17">+J11+K11</f>
        <v>0</v>
      </c>
      <c r="M11" s="714">
        <f>IF((C11&lt;&gt;0),ROUND((L11/C11)*100,1),"")</f>
      </c>
    </row>
    <row r="12" spans="1:13" ht="12.75">
      <c r="A12" s="286" t="s">
        <v>97</v>
      </c>
      <c r="B12" s="715"/>
      <c r="C12" s="716"/>
      <c r="D12" s="716"/>
      <c r="E12" s="716"/>
      <c r="F12" s="716"/>
      <c r="G12" s="716"/>
      <c r="H12" s="716"/>
      <c r="I12" s="716"/>
      <c r="J12" s="716"/>
      <c r="K12" s="716"/>
      <c r="L12" s="717">
        <f t="shared" si="0"/>
        <v>0</v>
      </c>
      <c r="M12" s="718">
        <f aca="true" t="shared" si="1" ref="M12:M17">IF((C12&lt;&gt;0),ROUND((L12/C12)*100,1),"")</f>
      </c>
    </row>
    <row r="13" spans="1:13" ht="12.75">
      <c r="A13" s="287" t="s">
        <v>86</v>
      </c>
      <c r="B13" s="719">
        <v>8949539</v>
      </c>
      <c r="C13" s="720">
        <v>8203931</v>
      </c>
      <c r="D13" s="720">
        <v>3360000</v>
      </c>
      <c r="E13" s="720">
        <v>3360000</v>
      </c>
      <c r="F13" s="720">
        <v>4000000</v>
      </c>
      <c r="G13" s="720">
        <v>4000000</v>
      </c>
      <c r="H13" s="720">
        <v>843931</v>
      </c>
      <c r="I13" s="720"/>
      <c r="J13" s="720">
        <v>3360000</v>
      </c>
      <c r="K13" s="720">
        <v>4000000</v>
      </c>
      <c r="L13" s="717">
        <f t="shared" si="0"/>
        <v>7360000</v>
      </c>
      <c r="M13" s="718">
        <v>0.8971</v>
      </c>
    </row>
    <row r="14" spans="1:13" ht="12.75">
      <c r="A14" s="287" t="s">
        <v>98</v>
      </c>
      <c r="B14" s="719"/>
      <c r="C14" s="720"/>
      <c r="D14" s="720"/>
      <c r="E14" s="720"/>
      <c r="F14" s="720"/>
      <c r="G14" s="720"/>
      <c r="H14" s="720"/>
      <c r="I14" s="720"/>
      <c r="J14" s="720"/>
      <c r="K14" s="720"/>
      <c r="L14" s="717">
        <f t="shared" si="0"/>
        <v>0</v>
      </c>
      <c r="M14" s="718"/>
    </row>
    <row r="15" spans="1:13" ht="12.75">
      <c r="A15" s="287" t="s">
        <v>87</v>
      </c>
      <c r="B15" s="719"/>
      <c r="C15" s="720"/>
      <c r="D15" s="720"/>
      <c r="E15" s="720"/>
      <c r="F15" s="720"/>
      <c r="G15" s="720"/>
      <c r="H15" s="720"/>
      <c r="I15" s="720"/>
      <c r="J15" s="720"/>
      <c r="K15" s="720"/>
      <c r="L15" s="717">
        <f t="shared" si="0"/>
        <v>0</v>
      </c>
      <c r="M15" s="718">
        <f t="shared" si="1"/>
      </c>
    </row>
    <row r="16" spans="1:13" ht="12.75">
      <c r="A16" s="287" t="s">
        <v>88</v>
      </c>
      <c r="B16" s="719"/>
      <c r="C16" s="720"/>
      <c r="D16" s="720"/>
      <c r="E16" s="720"/>
      <c r="F16" s="720"/>
      <c r="G16" s="720"/>
      <c r="H16" s="720"/>
      <c r="I16" s="720"/>
      <c r="J16" s="720"/>
      <c r="K16" s="720"/>
      <c r="L16" s="717">
        <f t="shared" si="0"/>
        <v>0</v>
      </c>
      <c r="M16" s="718">
        <f t="shared" si="1"/>
      </c>
    </row>
    <row r="17" spans="1:13" ht="13.5" thickBot="1">
      <c r="A17" s="288"/>
      <c r="B17" s="721"/>
      <c r="C17" s="289"/>
      <c r="D17" s="289"/>
      <c r="E17" s="289"/>
      <c r="F17" s="289"/>
      <c r="G17" s="289"/>
      <c r="H17" s="289"/>
      <c r="I17" s="289"/>
      <c r="J17" s="289"/>
      <c r="K17" s="289"/>
      <c r="L17" s="717">
        <f t="shared" si="0"/>
        <v>0</v>
      </c>
      <c r="M17" s="722">
        <f t="shared" si="1"/>
      </c>
    </row>
    <row r="18" spans="1:13" ht="13.5" thickBot="1">
      <c r="A18" s="290" t="s">
        <v>90</v>
      </c>
      <c r="B18" s="723">
        <f>B11+SUM(B13:B17)</f>
        <v>8949539</v>
      </c>
      <c r="C18" s="723">
        <f aca="true" t="shared" si="2" ref="C18:L18">C11+SUM(C13:C17)</f>
        <v>8203931</v>
      </c>
      <c r="D18" s="724">
        <f t="shared" si="2"/>
        <v>3360000</v>
      </c>
      <c r="E18" s="724">
        <f t="shared" si="2"/>
        <v>3360000</v>
      </c>
      <c r="F18" s="724">
        <f t="shared" si="2"/>
        <v>4000000</v>
      </c>
      <c r="G18" s="724">
        <f t="shared" si="2"/>
        <v>4000000</v>
      </c>
      <c r="H18" s="724">
        <f t="shared" si="2"/>
        <v>843931</v>
      </c>
      <c r="I18" s="724">
        <f t="shared" si="2"/>
        <v>0</v>
      </c>
      <c r="J18" s="724">
        <f t="shared" si="2"/>
        <v>3360000</v>
      </c>
      <c r="K18" s="724">
        <f t="shared" si="2"/>
        <v>4000000</v>
      </c>
      <c r="L18" s="724">
        <f t="shared" si="2"/>
        <v>7360000</v>
      </c>
      <c r="M18" s="725">
        <v>0.8971</v>
      </c>
    </row>
    <row r="19" spans="1:13" ht="12.75">
      <c r="A19" s="291"/>
      <c r="B19" s="292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</row>
    <row r="20" spans="1:13" ht="13.5" thickBot="1">
      <c r="A20" s="294" t="s">
        <v>89</v>
      </c>
      <c r="B20" s="295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</row>
    <row r="21" spans="1:13" ht="13.5" thickBot="1">
      <c r="A21" s="297" t="s">
        <v>93</v>
      </c>
      <c r="B21" s="711">
        <v>2049600</v>
      </c>
      <c r="C21" s="712">
        <v>1992978</v>
      </c>
      <c r="D21" s="712">
        <v>768600</v>
      </c>
      <c r="E21" s="712">
        <v>334600</v>
      </c>
      <c r="F21" s="712">
        <v>1024800</v>
      </c>
      <c r="G21" s="712">
        <v>1346768</v>
      </c>
      <c r="H21" s="711">
        <v>256200</v>
      </c>
      <c r="I21" s="712">
        <v>311610</v>
      </c>
      <c r="J21" s="712">
        <v>334600</v>
      </c>
      <c r="K21" s="712">
        <v>1346768</v>
      </c>
      <c r="L21" s="726">
        <f aca="true" t="shared" si="3" ref="L21:L26">+J21+K21</f>
        <v>1681368</v>
      </c>
      <c r="M21" s="714">
        <v>0.8436</v>
      </c>
    </row>
    <row r="22" spans="1:13" ht="13.5" thickBot="1">
      <c r="A22" s="298" t="s">
        <v>94</v>
      </c>
      <c r="B22" s="715">
        <v>607009</v>
      </c>
      <c r="C22" s="720">
        <v>788104</v>
      </c>
      <c r="D22" s="720">
        <v>251890</v>
      </c>
      <c r="E22" s="720">
        <v>251890</v>
      </c>
      <c r="F22" s="720">
        <v>355119</v>
      </c>
      <c r="G22" s="720">
        <v>189386</v>
      </c>
      <c r="H22" s="715"/>
      <c r="I22" s="720">
        <v>346828</v>
      </c>
      <c r="J22" s="720">
        <v>251890</v>
      </c>
      <c r="K22" s="720">
        <v>189386</v>
      </c>
      <c r="L22" s="727">
        <f t="shared" si="3"/>
        <v>441276</v>
      </c>
      <c r="M22" s="714">
        <v>0.5599</v>
      </c>
    </row>
    <row r="23" spans="1:13" ht="13.5" thickBot="1">
      <c r="A23" s="298" t="s">
        <v>95</v>
      </c>
      <c r="B23" s="719">
        <v>5662930</v>
      </c>
      <c r="C23" s="720">
        <v>4792849</v>
      </c>
      <c r="D23" s="720"/>
      <c r="E23" s="720"/>
      <c r="F23" s="720">
        <v>5662930</v>
      </c>
      <c r="G23" s="720">
        <v>4792849</v>
      </c>
      <c r="H23" s="719">
        <v>0</v>
      </c>
      <c r="I23" s="720"/>
      <c r="J23" s="720"/>
      <c r="K23" s="720">
        <v>4792849</v>
      </c>
      <c r="L23" s="727">
        <f t="shared" si="3"/>
        <v>4792849</v>
      </c>
      <c r="M23" s="714">
        <f>F23/B23</f>
        <v>1</v>
      </c>
    </row>
    <row r="24" spans="1:13" ht="13.5" thickBot="1">
      <c r="A24" s="298" t="s">
        <v>889</v>
      </c>
      <c r="B24" s="719">
        <v>630000</v>
      </c>
      <c r="C24" s="720">
        <v>630000</v>
      </c>
      <c r="D24" s="720">
        <v>105000</v>
      </c>
      <c r="E24" s="720">
        <v>105000</v>
      </c>
      <c r="F24" s="720">
        <v>420000</v>
      </c>
      <c r="G24" s="720">
        <v>420000</v>
      </c>
      <c r="H24" s="719">
        <v>105000</v>
      </c>
      <c r="I24" s="720">
        <v>105000</v>
      </c>
      <c r="J24" s="720">
        <v>105000</v>
      </c>
      <c r="K24" s="720">
        <v>420000</v>
      </c>
      <c r="L24" s="727">
        <f t="shared" si="3"/>
        <v>525000</v>
      </c>
      <c r="M24" s="714">
        <v>0.8175</v>
      </c>
    </row>
    <row r="25" spans="1:13" ht="13.5" thickBot="1">
      <c r="A25" s="298" t="s">
        <v>96</v>
      </c>
      <c r="B25" s="719"/>
      <c r="C25" s="720"/>
      <c r="D25" s="720"/>
      <c r="E25" s="720"/>
      <c r="F25" s="720"/>
      <c r="G25" s="720"/>
      <c r="H25" s="720"/>
      <c r="I25" s="720"/>
      <c r="J25" s="720"/>
      <c r="K25" s="720"/>
      <c r="L25" s="727">
        <f t="shared" si="3"/>
        <v>0</v>
      </c>
      <c r="M25" s="714"/>
    </row>
    <row r="26" spans="1:13" ht="13.5" thickBot="1">
      <c r="A26" s="299"/>
      <c r="B26" s="721"/>
      <c r="C26" s="289"/>
      <c r="D26" s="289"/>
      <c r="E26" s="289"/>
      <c r="F26" s="289"/>
      <c r="G26" s="289"/>
      <c r="H26" s="289"/>
      <c r="I26" s="289"/>
      <c r="J26" s="289"/>
      <c r="K26" s="289"/>
      <c r="L26" s="727">
        <f t="shared" si="3"/>
        <v>0</v>
      </c>
      <c r="M26" s="714"/>
    </row>
    <row r="27" spans="1:15" ht="13.5" thickBot="1">
      <c r="A27" s="300" t="s">
        <v>75</v>
      </c>
      <c r="B27" s="724">
        <f aca="true" t="shared" si="4" ref="B27:L27">SUM(B21:B26)</f>
        <v>8949539</v>
      </c>
      <c r="C27" s="724">
        <f t="shared" si="4"/>
        <v>8203931</v>
      </c>
      <c r="D27" s="724">
        <f>SUM(D21:D26)</f>
        <v>1125490</v>
      </c>
      <c r="E27" s="724">
        <f>SUM(E21:E26)</f>
        <v>691490</v>
      </c>
      <c r="F27" s="724">
        <f t="shared" si="4"/>
        <v>7462849</v>
      </c>
      <c r="G27" s="724">
        <f>SUM(G21:G26)</f>
        <v>6749003</v>
      </c>
      <c r="H27" s="724">
        <f t="shared" si="4"/>
        <v>361200</v>
      </c>
      <c r="I27" s="724">
        <f t="shared" si="4"/>
        <v>763438</v>
      </c>
      <c r="J27" s="724">
        <f t="shared" si="4"/>
        <v>691490</v>
      </c>
      <c r="K27" s="724">
        <f t="shared" si="4"/>
        <v>6749003</v>
      </c>
      <c r="L27" s="724">
        <f t="shared" si="4"/>
        <v>7440493</v>
      </c>
      <c r="M27" s="714">
        <v>0.9069</v>
      </c>
      <c r="O27" s="728"/>
    </row>
    <row r="28" spans="1:13" ht="12.75">
      <c r="A28" s="864" t="s">
        <v>520</v>
      </c>
      <c r="B28" s="864"/>
      <c r="C28" s="864"/>
      <c r="D28" s="864"/>
      <c r="E28" s="864"/>
      <c r="F28" s="864"/>
      <c r="G28" s="864"/>
      <c r="H28" s="864"/>
      <c r="I28" s="864"/>
      <c r="J28" s="864"/>
      <c r="K28" s="864"/>
      <c r="L28" s="864"/>
      <c r="M28" s="864"/>
    </row>
    <row r="29" spans="1:13" ht="12.75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</row>
    <row r="30" spans="1:13" ht="15.75">
      <c r="A30" s="866" t="str">
        <f>+CONCATENATE("Önkormányzaton kívüli EU-s projekthez történő hozzájárulás ",LEFT(Z_ÖSSZEFÜGGÉSEK!A6,4),". XII. 31.  előirányzata és teljesítése")</f>
        <v>Önkormányzaton kívüli EU-s projekthez történő hozzájárulás 2019. XII. 31.  előirányzata és teljesítése</v>
      </c>
      <c r="B30" s="866"/>
      <c r="C30" s="866"/>
      <c r="D30" s="866"/>
      <c r="E30" s="866"/>
      <c r="F30" s="866"/>
      <c r="G30" s="866"/>
      <c r="H30" s="866"/>
      <c r="I30" s="866"/>
      <c r="J30" s="866"/>
      <c r="K30" s="866"/>
      <c r="L30" s="866"/>
      <c r="M30" s="866"/>
    </row>
    <row r="31" spans="1:13" ht="14.25" thickBo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865" t="str">
        <f>L5</f>
        <v>Forintban</v>
      </c>
      <c r="M31" s="865"/>
    </row>
    <row r="32" spans="1:13" ht="21.75" thickBot="1">
      <c r="A32" s="857" t="s">
        <v>91</v>
      </c>
      <c r="B32" s="858"/>
      <c r="C32" s="858"/>
      <c r="D32" s="858"/>
      <c r="E32" s="858"/>
      <c r="F32" s="858"/>
      <c r="G32" s="858"/>
      <c r="H32" s="858"/>
      <c r="I32" s="858"/>
      <c r="J32" s="858"/>
      <c r="K32" s="302" t="s">
        <v>452</v>
      </c>
      <c r="L32" s="302" t="s">
        <v>453</v>
      </c>
      <c r="M32" s="302" t="s">
        <v>443</v>
      </c>
    </row>
    <row r="33" spans="1:13" ht="12.75">
      <c r="A33" s="860"/>
      <c r="B33" s="861"/>
      <c r="C33" s="861"/>
      <c r="D33" s="861"/>
      <c r="E33" s="861"/>
      <c r="F33" s="861"/>
      <c r="G33" s="861"/>
      <c r="H33" s="861"/>
      <c r="I33" s="861"/>
      <c r="J33" s="861"/>
      <c r="K33" s="285"/>
      <c r="L33" s="303"/>
      <c r="M33" s="303"/>
    </row>
    <row r="34" spans="1:13" ht="13.5" thickBot="1">
      <c r="A34" s="854"/>
      <c r="B34" s="855"/>
      <c r="C34" s="855"/>
      <c r="D34" s="855"/>
      <c r="E34" s="855"/>
      <c r="F34" s="855"/>
      <c r="G34" s="855"/>
      <c r="H34" s="855"/>
      <c r="I34" s="855"/>
      <c r="J34" s="855"/>
      <c r="K34" s="304"/>
      <c r="L34" s="289"/>
      <c r="M34" s="289"/>
    </row>
    <row r="35" spans="1:13" ht="13.5" thickBot="1">
      <c r="A35" s="852" t="s">
        <v>519</v>
      </c>
      <c r="B35" s="853"/>
      <c r="C35" s="853"/>
      <c r="D35" s="853"/>
      <c r="E35" s="853"/>
      <c r="F35" s="853"/>
      <c r="G35" s="853"/>
      <c r="H35" s="853"/>
      <c r="I35" s="853"/>
      <c r="J35" s="853"/>
      <c r="K35" s="305">
        <f>SUM(K33:K34)</f>
        <v>0</v>
      </c>
      <c r="L35" s="305">
        <f>SUM(L33:L34)</f>
        <v>0</v>
      </c>
      <c r="M35" s="305">
        <f>SUM(M33:M34)</f>
        <v>0</v>
      </c>
    </row>
  </sheetData>
  <sheetProtection selectLockedCells="1" selectUnlockedCells="1"/>
  <mergeCells count="23">
    <mergeCell ref="A1:M1"/>
    <mergeCell ref="A2:M2"/>
    <mergeCell ref="A3:M3"/>
    <mergeCell ref="A4:C4"/>
    <mergeCell ref="D4:M4"/>
    <mergeCell ref="L5:M5"/>
    <mergeCell ref="A6:A9"/>
    <mergeCell ref="B6:I6"/>
    <mergeCell ref="J6:M8"/>
    <mergeCell ref="B7:B8"/>
    <mergeCell ref="C7:C8"/>
    <mergeCell ref="D7:I7"/>
    <mergeCell ref="B9:C9"/>
    <mergeCell ref="D9:E9"/>
    <mergeCell ref="F9:G9"/>
    <mergeCell ref="H9:I9"/>
    <mergeCell ref="A35:J35"/>
    <mergeCell ref="A28:M28"/>
    <mergeCell ref="A30:M30"/>
    <mergeCell ref="L31:M31"/>
    <mergeCell ref="A32:J32"/>
    <mergeCell ref="A33:J33"/>
    <mergeCell ref="A34:J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zoomScale="120" zoomScaleNormal="120" zoomScaleSheetLayoutView="100" workbookViewId="0" topLeftCell="A1">
      <selection activeCell="C9" sqref="C9"/>
    </sheetView>
  </sheetViews>
  <sheetFormatPr defaultColWidth="9.00390625" defaultRowHeight="12.75"/>
  <cols>
    <col min="1" max="1" width="16.125" style="156" customWidth="1"/>
    <col min="2" max="2" width="63.875" style="157" customWidth="1"/>
    <col min="3" max="3" width="14.125" style="158" customWidth="1"/>
    <col min="4" max="5" width="14.125" style="2" customWidth="1"/>
    <col min="6" max="7" width="10.875" style="2" bestFit="1" customWidth="1"/>
    <col min="8" max="16384" width="9.375" style="2" customWidth="1"/>
  </cols>
  <sheetData>
    <row r="1" spans="1:5" s="1" customFormat="1" ht="16.5" customHeight="1" thickBot="1">
      <c r="A1" s="345"/>
      <c r="B1" s="876" t="str">
        <f>CONCATENATE("6.1. melléklet ",Z_ALAPADATOK!A7," ",Z_ALAPADATOK!B7," ",Z_ALAPADATOK!C7," ",Z_ALAPADATOK!D7," ",Z_ALAPADATOK!E7," ",Z_ALAPADATOK!F7," ",Z_ALAPADATOK!G7," ",Z_ALAPADATOK!H7)</f>
        <v>6.1. melléklet a 12 / 2020. ( VII.16. ) önkormányzati rendelethez</v>
      </c>
      <c r="C1" s="877"/>
      <c r="D1" s="877"/>
      <c r="E1" s="877"/>
    </row>
    <row r="2" spans="1:5" s="48" customFormat="1" ht="21" customHeight="1" thickBot="1">
      <c r="A2" s="354" t="s">
        <v>45</v>
      </c>
      <c r="B2" s="875" t="str">
        <f>CONCATENATE(Z_ALAPADATOK!A3)</f>
        <v>Szalánta Községi Önkormányzat</v>
      </c>
      <c r="C2" s="875"/>
      <c r="D2" s="875"/>
      <c r="E2" s="355" t="s">
        <v>39</v>
      </c>
    </row>
    <row r="3" spans="1:5" s="48" customFormat="1" ht="24.75" thickBot="1">
      <c r="A3" s="354" t="s">
        <v>137</v>
      </c>
      <c r="B3" s="875" t="s">
        <v>307</v>
      </c>
      <c r="C3" s="875"/>
      <c r="D3" s="875"/>
      <c r="E3" s="356" t="s">
        <v>39</v>
      </c>
    </row>
    <row r="4" spans="1:5" s="49" customFormat="1" ht="15.75" customHeight="1" thickBot="1">
      <c r="A4" s="348"/>
      <c r="B4" s="348"/>
      <c r="C4" s="349"/>
      <c r="D4" s="350"/>
      <c r="E4" s="359" t="s">
        <v>850</v>
      </c>
    </row>
    <row r="5" spans="1:5" ht="24.75" thickBot="1">
      <c r="A5" s="351" t="s">
        <v>138</v>
      </c>
      <c r="B5" s="352" t="s">
        <v>489</v>
      </c>
      <c r="C5" s="352" t="s">
        <v>454</v>
      </c>
      <c r="D5" s="353" t="s">
        <v>455</v>
      </c>
      <c r="E5" s="334" t="str">
        <f>+CONCATENATE("Teljesítés",CHAR(10),LEFT(Z_ÖSSZEFÜGGÉSEK!A6,4),". XII. 31.")</f>
        <v>Teljesítés
2019. XII. 31.</v>
      </c>
    </row>
    <row r="6" spans="1:5" s="44" customFormat="1" ht="12.75" customHeight="1" thickBot="1">
      <c r="A6" s="72" t="s">
        <v>387</v>
      </c>
      <c r="B6" s="73" t="s">
        <v>388</v>
      </c>
      <c r="C6" s="73" t="s">
        <v>389</v>
      </c>
      <c r="D6" s="306" t="s">
        <v>391</v>
      </c>
      <c r="E6" s="74" t="s">
        <v>390</v>
      </c>
    </row>
    <row r="7" spans="1:5" s="44" customFormat="1" ht="15.75" customHeight="1" thickBot="1">
      <c r="A7" s="872" t="s">
        <v>40</v>
      </c>
      <c r="B7" s="873"/>
      <c r="C7" s="873"/>
      <c r="D7" s="873"/>
      <c r="E7" s="874"/>
    </row>
    <row r="8" spans="1:5" s="44" customFormat="1" ht="12" customHeight="1" thickBot="1">
      <c r="A8" s="24" t="s">
        <v>6</v>
      </c>
      <c r="B8" s="19" t="s">
        <v>164</v>
      </c>
      <c r="C8" s="163">
        <f>+C9+C10+C11+C12+C13+C14</f>
        <v>173789722</v>
      </c>
      <c r="D8" s="249">
        <f>+D9+D10+D11+D12+D13+D14</f>
        <v>186371785</v>
      </c>
      <c r="E8" s="100">
        <f>+E9+E10+E11+E12+E13+E14</f>
        <v>186371785</v>
      </c>
    </row>
    <row r="9" spans="1:5" s="50" customFormat="1" ht="12" customHeight="1">
      <c r="A9" s="193" t="s">
        <v>64</v>
      </c>
      <c r="B9" s="176" t="s">
        <v>165</v>
      </c>
      <c r="C9" s="165">
        <v>59002426</v>
      </c>
      <c r="D9" s="250">
        <v>61425576</v>
      </c>
      <c r="E9" s="250">
        <v>61425576</v>
      </c>
    </row>
    <row r="10" spans="1:5" s="51" customFormat="1" ht="12" customHeight="1">
      <c r="A10" s="194" t="s">
        <v>65</v>
      </c>
      <c r="B10" s="177" t="s">
        <v>166</v>
      </c>
      <c r="C10" s="164">
        <v>57190699</v>
      </c>
      <c r="D10" s="251">
        <v>56671559</v>
      </c>
      <c r="E10" s="251">
        <v>56671559</v>
      </c>
    </row>
    <row r="11" spans="1:5" s="51" customFormat="1" ht="12" customHeight="1">
      <c r="A11" s="194" t="s">
        <v>66</v>
      </c>
      <c r="B11" s="177" t="s">
        <v>167</v>
      </c>
      <c r="C11" s="164">
        <v>55796597</v>
      </c>
      <c r="D11" s="251">
        <v>57316990</v>
      </c>
      <c r="E11" s="251">
        <v>57316990</v>
      </c>
    </row>
    <row r="12" spans="1:5" s="51" customFormat="1" ht="12" customHeight="1">
      <c r="A12" s="194" t="s">
        <v>67</v>
      </c>
      <c r="B12" s="177" t="s">
        <v>168</v>
      </c>
      <c r="C12" s="164">
        <v>1800000</v>
      </c>
      <c r="D12" s="251">
        <v>1800000</v>
      </c>
      <c r="E12" s="251">
        <v>1800000</v>
      </c>
    </row>
    <row r="13" spans="1:5" s="51" customFormat="1" ht="12" customHeight="1">
      <c r="A13" s="194" t="s">
        <v>99</v>
      </c>
      <c r="B13" s="177" t="s">
        <v>395</v>
      </c>
      <c r="C13" s="164"/>
      <c r="D13" s="251">
        <v>8967200</v>
      </c>
      <c r="E13" s="251">
        <v>8967200</v>
      </c>
    </row>
    <row r="14" spans="1:5" s="50" customFormat="1" ht="12" customHeight="1" thickBot="1">
      <c r="A14" s="195" t="s">
        <v>68</v>
      </c>
      <c r="B14" s="178" t="s">
        <v>336</v>
      </c>
      <c r="C14" s="164"/>
      <c r="D14" s="251">
        <v>190460</v>
      </c>
      <c r="E14" s="251">
        <v>190460</v>
      </c>
    </row>
    <row r="15" spans="1:5" s="50" customFormat="1" ht="12" customHeight="1" thickBot="1">
      <c r="A15" s="24" t="s">
        <v>7</v>
      </c>
      <c r="B15" s="107" t="s">
        <v>169</v>
      </c>
      <c r="C15" s="163">
        <f>+C16+C17+C18+C19+C20</f>
        <v>14588366</v>
      </c>
      <c r="D15" s="249">
        <f>+D16+D17+D18+D19+D20</f>
        <v>20961734</v>
      </c>
      <c r="E15" s="100">
        <f>+E16+E17+E18+E19+E20</f>
        <v>21663657</v>
      </c>
    </row>
    <row r="16" spans="1:5" s="50" customFormat="1" ht="12" customHeight="1">
      <c r="A16" s="193" t="s">
        <v>70</v>
      </c>
      <c r="B16" s="176" t="s">
        <v>170</v>
      </c>
      <c r="C16" s="165"/>
      <c r="D16" s="250"/>
      <c r="E16" s="102"/>
    </row>
    <row r="17" spans="1:5" s="50" customFormat="1" ht="12" customHeight="1">
      <c r="A17" s="194" t="s">
        <v>71</v>
      </c>
      <c r="B17" s="177" t="s">
        <v>171</v>
      </c>
      <c r="C17" s="164"/>
      <c r="D17" s="251"/>
      <c r="E17" s="101"/>
    </row>
    <row r="18" spans="1:5" s="50" customFormat="1" ht="12" customHeight="1">
      <c r="A18" s="194" t="s">
        <v>72</v>
      </c>
      <c r="B18" s="177" t="s">
        <v>328</v>
      </c>
      <c r="C18" s="164"/>
      <c r="D18" s="251"/>
      <c r="E18" s="101"/>
    </row>
    <row r="19" spans="1:5" s="50" customFormat="1" ht="12" customHeight="1">
      <c r="A19" s="194" t="s">
        <v>73</v>
      </c>
      <c r="B19" s="177" t="s">
        <v>329</v>
      </c>
      <c r="C19" s="164"/>
      <c r="D19" s="251"/>
      <c r="E19" s="101"/>
    </row>
    <row r="20" spans="1:5" s="50" customFormat="1" ht="12" customHeight="1">
      <c r="A20" s="194" t="s">
        <v>74</v>
      </c>
      <c r="B20" s="177" t="s">
        <v>172</v>
      </c>
      <c r="C20" s="164">
        <v>14588366</v>
      </c>
      <c r="D20" s="251">
        <v>20961734</v>
      </c>
      <c r="E20" s="101">
        <v>21663657</v>
      </c>
    </row>
    <row r="21" spans="1:5" s="51" customFormat="1" ht="12" customHeight="1" thickBot="1">
      <c r="A21" s="195" t="s">
        <v>81</v>
      </c>
      <c r="B21" s="178" t="s">
        <v>173</v>
      </c>
      <c r="C21" s="166"/>
      <c r="D21" s="252">
        <v>4000000</v>
      </c>
      <c r="E21" s="103">
        <v>4000000</v>
      </c>
    </row>
    <row r="22" spans="1:5" s="51" customFormat="1" ht="12" customHeight="1" thickBot="1">
      <c r="A22" s="24" t="s">
        <v>8</v>
      </c>
      <c r="B22" s="19" t="s">
        <v>174</v>
      </c>
      <c r="C22" s="163">
        <f>+C23+C24+C25+C26+C27</f>
        <v>0</v>
      </c>
      <c r="D22" s="249">
        <f>+D23+D24+D25+D26+D27</f>
        <v>0</v>
      </c>
      <c r="E22" s="100">
        <f>+E23+E24+E25+E26+E27</f>
        <v>0</v>
      </c>
    </row>
    <row r="23" spans="1:5" s="51" customFormat="1" ht="12" customHeight="1">
      <c r="A23" s="193" t="s">
        <v>53</v>
      </c>
      <c r="B23" s="176" t="s">
        <v>175</v>
      </c>
      <c r="C23" s="165"/>
      <c r="D23" s="250"/>
      <c r="E23" s="102"/>
    </row>
    <row r="24" spans="1:5" s="50" customFormat="1" ht="12" customHeight="1">
      <c r="A24" s="194" t="s">
        <v>54</v>
      </c>
      <c r="B24" s="177" t="s">
        <v>176</v>
      </c>
      <c r="C24" s="164"/>
      <c r="D24" s="251"/>
      <c r="E24" s="101"/>
    </row>
    <row r="25" spans="1:5" s="51" customFormat="1" ht="12" customHeight="1">
      <c r="A25" s="194" t="s">
        <v>55</v>
      </c>
      <c r="B25" s="177" t="s">
        <v>330</v>
      </c>
      <c r="C25" s="164"/>
      <c r="D25" s="251"/>
      <c r="E25" s="101"/>
    </row>
    <row r="26" spans="1:5" s="51" customFormat="1" ht="12" customHeight="1">
      <c r="A26" s="194" t="s">
        <v>56</v>
      </c>
      <c r="B26" s="177" t="s">
        <v>331</v>
      </c>
      <c r="C26" s="164"/>
      <c r="D26" s="251"/>
      <c r="E26" s="101"/>
    </row>
    <row r="27" spans="1:5" s="51" customFormat="1" ht="12" customHeight="1">
      <c r="A27" s="194" t="s">
        <v>112</v>
      </c>
      <c r="B27" s="177" t="s">
        <v>177</v>
      </c>
      <c r="C27" s="164"/>
      <c r="D27" s="251"/>
      <c r="E27" s="101"/>
    </row>
    <row r="28" spans="1:5" s="51" customFormat="1" ht="12" customHeight="1" thickBot="1">
      <c r="A28" s="195" t="s">
        <v>113</v>
      </c>
      <c r="B28" s="178" t="s">
        <v>178</v>
      </c>
      <c r="C28" s="166"/>
      <c r="D28" s="252"/>
      <c r="E28" s="103"/>
    </row>
    <row r="29" spans="1:5" s="51" customFormat="1" ht="12" customHeight="1" thickBot="1">
      <c r="A29" s="24" t="s">
        <v>114</v>
      </c>
      <c r="B29" s="19" t="s">
        <v>481</v>
      </c>
      <c r="C29" s="169">
        <f>SUM(C30:C37)</f>
        <v>23500000</v>
      </c>
      <c r="D29" s="169">
        <f>SUM(D30:D37)</f>
        <v>23500000</v>
      </c>
      <c r="E29" s="205">
        <f>SUM(E30:E37)</f>
        <v>30914145</v>
      </c>
    </row>
    <row r="30" spans="1:5" s="51" customFormat="1" ht="12" customHeight="1">
      <c r="A30" s="193" t="s">
        <v>179</v>
      </c>
      <c r="B30" s="176" t="s">
        <v>482</v>
      </c>
      <c r="C30" s="165"/>
      <c r="D30" s="165"/>
      <c r="E30" s="102"/>
    </row>
    <row r="31" spans="1:5" s="51" customFormat="1" ht="12" customHeight="1">
      <c r="A31" s="193" t="s">
        <v>879</v>
      </c>
      <c r="B31" s="176" t="s">
        <v>878</v>
      </c>
      <c r="C31" s="165">
        <v>2100000</v>
      </c>
      <c r="D31" s="165">
        <v>2100000</v>
      </c>
      <c r="E31" s="102">
        <v>2565863</v>
      </c>
    </row>
    <row r="32" spans="1:5" s="51" customFormat="1" ht="12" customHeight="1">
      <c r="A32" s="194" t="s">
        <v>181</v>
      </c>
      <c r="B32" s="177" t="s">
        <v>883</v>
      </c>
      <c r="C32" s="164"/>
      <c r="D32" s="164"/>
      <c r="E32" s="101"/>
    </row>
    <row r="33" spans="1:5" s="51" customFormat="1" ht="12" customHeight="1">
      <c r="A33" s="194" t="s">
        <v>182</v>
      </c>
      <c r="B33" s="177" t="s">
        <v>483</v>
      </c>
      <c r="C33" s="164">
        <v>17000000</v>
      </c>
      <c r="D33" s="164">
        <v>17000000</v>
      </c>
      <c r="E33" s="101">
        <v>23747296</v>
      </c>
    </row>
    <row r="34" spans="1:5" s="51" customFormat="1" ht="12" customHeight="1">
      <c r="A34" s="194" t="s">
        <v>880</v>
      </c>
      <c r="B34" s="177" t="s">
        <v>484</v>
      </c>
      <c r="C34" s="164"/>
      <c r="D34" s="164"/>
      <c r="E34" s="101"/>
    </row>
    <row r="35" spans="1:5" s="51" customFormat="1" ht="12" customHeight="1">
      <c r="A35" s="194" t="s">
        <v>486</v>
      </c>
      <c r="B35" s="177" t="s">
        <v>183</v>
      </c>
      <c r="C35" s="164">
        <v>4000000</v>
      </c>
      <c r="D35" s="164">
        <v>4000000</v>
      </c>
      <c r="E35" s="101">
        <v>4367476</v>
      </c>
    </row>
    <row r="36" spans="1:5" s="51" customFormat="1" ht="12" customHeight="1">
      <c r="A36" s="194" t="s">
        <v>487</v>
      </c>
      <c r="B36" s="177" t="s">
        <v>184</v>
      </c>
      <c r="C36" s="164"/>
      <c r="D36" s="164"/>
      <c r="E36" s="101"/>
    </row>
    <row r="37" spans="1:5" s="51" customFormat="1" ht="12" customHeight="1" thickBot="1">
      <c r="A37" s="195" t="s">
        <v>881</v>
      </c>
      <c r="B37" s="318" t="s">
        <v>185</v>
      </c>
      <c r="C37" s="166">
        <v>400000</v>
      </c>
      <c r="D37" s="166">
        <v>400000</v>
      </c>
      <c r="E37" s="103">
        <v>233510</v>
      </c>
    </row>
    <row r="38" spans="1:5" s="51" customFormat="1" ht="12" customHeight="1" thickBot="1">
      <c r="A38" s="24" t="s">
        <v>10</v>
      </c>
      <c r="B38" s="19" t="s">
        <v>337</v>
      </c>
      <c r="C38" s="163">
        <f>SUM(C39:C49)</f>
        <v>8298500</v>
      </c>
      <c r="D38" s="249">
        <f>SUM(D39:D49)</f>
        <v>8298500</v>
      </c>
      <c r="E38" s="100">
        <f>SUM(E39:E49)</f>
        <v>9971074</v>
      </c>
    </row>
    <row r="39" spans="1:5" s="51" customFormat="1" ht="12" customHeight="1">
      <c r="A39" s="193" t="s">
        <v>57</v>
      </c>
      <c r="B39" s="176" t="s">
        <v>188</v>
      </c>
      <c r="C39" s="165"/>
      <c r="D39" s="250"/>
      <c r="E39" s="102"/>
    </row>
    <row r="40" spans="1:5" s="51" customFormat="1" ht="12" customHeight="1">
      <c r="A40" s="194" t="s">
        <v>58</v>
      </c>
      <c r="B40" s="177" t="s">
        <v>189</v>
      </c>
      <c r="C40" s="164">
        <v>1100000</v>
      </c>
      <c r="D40" s="164">
        <v>1100000</v>
      </c>
      <c r="E40" s="101">
        <v>1540519</v>
      </c>
    </row>
    <row r="41" spans="1:5" s="51" customFormat="1" ht="12" customHeight="1">
      <c r="A41" s="194" t="s">
        <v>59</v>
      </c>
      <c r="B41" s="177" t="s">
        <v>190</v>
      </c>
      <c r="C41" s="164">
        <v>3700000</v>
      </c>
      <c r="D41" s="164">
        <v>3700000</v>
      </c>
      <c r="E41" s="101">
        <v>3827269</v>
      </c>
    </row>
    <row r="42" spans="1:5" s="51" customFormat="1" ht="12" customHeight="1">
      <c r="A42" s="194" t="s">
        <v>116</v>
      </c>
      <c r="B42" s="177" t="s">
        <v>191</v>
      </c>
      <c r="C42" s="164">
        <v>2000000</v>
      </c>
      <c r="D42" s="164">
        <v>2000000</v>
      </c>
      <c r="E42" s="101">
        <v>2574607</v>
      </c>
    </row>
    <row r="43" spans="1:5" s="51" customFormat="1" ht="12" customHeight="1">
      <c r="A43" s="194" t="s">
        <v>117</v>
      </c>
      <c r="B43" s="177" t="s">
        <v>192</v>
      </c>
      <c r="C43" s="164"/>
      <c r="D43" s="164"/>
      <c r="E43" s="101"/>
    </row>
    <row r="44" spans="1:5" s="51" customFormat="1" ht="12" customHeight="1">
      <c r="A44" s="194" t="s">
        <v>118</v>
      </c>
      <c r="B44" s="177" t="s">
        <v>193</v>
      </c>
      <c r="C44" s="164">
        <v>1498500</v>
      </c>
      <c r="D44" s="164">
        <v>1498500</v>
      </c>
      <c r="E44" s="101">
        <v>1687377</v>
      </c>
    </row>
    <row r="45" spans="1:5" s="51" customFormat="1" ht="12" customHeight="1">
      <c r="A45" s="194" t="s">
        <v>119</v>
      </c>
      <c r="B45" s="177" t="s">
        <v>194</v>
      </c>
      <c r="C45" s="164"/>
      <c r="D45" s="251"/>
      <c r="E45" s="101"/>
    </row>
    <row r="46" spans="1:5" s="51" customFormat="1" ht="12" customHeight="1">
      <c r="A46" s="194" t="s">
        <v>120</v>
      </c>
      <c r="B46" s="177" t="s">
        <v>488</v>
      </c>
      <c r="C46" s="164"/>
      <c r="D46" s="251"/>
      <c r="E46" s="101">
        <v>44</v>
      </c>
    </row>
    <row r="47" spans="1:5" s="51" customFormat="1" ht="12" customHeight="1">
      <c r="A47" s="194" t="s">
        <v>186</v>
      </c>
      <c r="B47" s="177" t="s">
        <v>196</v>
      </c>
      <c r="C47" s="167"/>
      <c r="D47" s="307"/>
      <c r="E47" s="104"/>
    </row>
    <row r="48" spans="1:5" s="51" customFormat="1" ht="12" customHeight="1">
      <c r="A48" s="195" t="s">
        <v>187</v>
      </c>
      <c r="B48" s="178" t="s">
        <v>339</v>
      </c>
      <c r="C48" s="168"/>
      <c r="D48" s="308"/>
      <c r="E48" s="105"/>
    </row>
    <row r="49" spans="1:5" s="51" customFormat="1" ht="12" customHeight="1" thickBot="1">
      <c r="A49" s="195" t="s">
        <v>338</v>
      </c>
      <c r="B49" s="178" t="s">
        <v>197</v>
      </c>
      <c r="C49" s="168"/>
      <c r="D49" s="308"/>
      <c r="E49" s="105">
        <v>341258</v>
      </c>
    </row>
    <row r="50" spans="1:5" s="51" customFormat="1" ht="12" customHeight="1" thickBot="1">
      <c r="A50" s="24" t="s">
        <v>11</v>
      </c>
      <c r="B50" s="19" t="s">
        <v>198</v>
      </c>
      <c r="C50" s="163">
        <f>SUM(C51:C55)</f>
        <v>0</v>
      </c>
      <c r="D50" s="249">
        <f>SUM(D51:D55)</f>
        <v>0</v>
      </c>
      <c r="E50" s="100">
        <f>SUM(E51:E55)</f>
        <v>236472</v>
      </c>
    </row>
    <row r="51" spans="1:5" s="51" customFormat="1" ht="12" customHeight="1">
      <c r="A51" s="193" t="s">
        <v>60</v>
      </c>
      <c r="B51" s="176" t="s">
        <v>202</v>
      </c>
      <c r="C51" s="216"/>
      <c r="D51" s="309"/>
      <c r="E51" s="106"/>
    </row>
    <row r="52" spans="1:5" s="51" customFormat="1" ht="12" customHeight="1">
      <c r="A52" s="194" t="s">
        <v>61</v>
      </c>
      <c r="B52" s="177" t="s">
        <v>203</v>
      </c>
      <c r="C52" s="167"/>
      <c r="D52" s="307"/>
      <c r="E52" s="104"/>
    </row>
    <row r="53" spans="1:5" s="51" customFormat="1" ht="12" customHeight="1">
      <c r="A53" s="194" t="s">
        <v>199</v>
      </c>
      <c r="B53" s="177" t="s">
        <v>204</v>
      </c>
      <c r="C53" s="167"/>
      <c r="D53" s="307"/>
      <c r="E53" s="104">
        <v>236472</v>
      </c>
    </row>
    <row r="54" spans="1:5" s="51" customFormat="1" ht="12" customHeight="1">
      <c r="A54" s="194" t="s">
        <v>200</v>
      </c>
      <c r="B54" s="177" t="s">
        <v>205</v>
      </c>
      <c r="C54" s="167"/>
      <c r="D54" s="307"/>
      <c r="E54" s="104"/>
    </row>
    <row r="55" spans="1:5" s="51" customFormat="1" ht="12" customHeight="1" thickBot="1">
      <c r="A55" s="195" t="s">
        <v>201</v>
      </c>
      <c r="B55" s="178" t="s">
        <v>206</v>
      </c>
      <c r="C55" s="168"/>
      <c r="D55" s="308"/>
      <c r="E55" s="105"/>
    </row>
    <row r="56" spans="1:5" s="51" customFormat="1" ht="12" customHeight="1" thickBot="1">
      <c r="A56" s="24" t="s">
        <v>121</v>
      </c>
      <c r="B56" s="19" t="s">
        <v>207</v>
      </c>
      <c r="C56" s="163">
        <f>SUM(C57:C59)</f>
        <v>400000</v>
      </c>
      <c r="D56" s="249">
        <f>SUM(D57:D59)</f>
        <v>400000</v>
      </c>
      <c r="E56" s="100">
        <f>SUM(E57:E59)</f>
        <v>257713</v>
      </c>
    </row>
    <row r="57" spans="1:5" s="51" customFormat="1" ht="12" customHeight="1">
      <c r="A57" s="193" t="s">
        <v>62</v>
      </c>
      <c r="B57" s="176" t="s">
        <v>208</v>
      </c>
      <c r="C57" s="165"/>
      <c r="D57" s="250"/>
      <c r="E57" s="102"/>
    </row>
    <row r="58" spans="1:5" s="51" customFormat="1" ht="12" customHeight="1">
      <c r="A58" s="194" t="s">
        <v>63</v>
      </c>
      <c r="B58" s="177" t="s">
        <v>332</v>
      </c>
      <c r="C58" s="164">
        <v>400000</v>
      </c>
      <c r="D58" s="251">
        <v>400000</v>
      </c>
      <c r="E58" s="101">
        <v>203000</v>
      </c>
    </row>
    <row r="59" spans="1:5" s="51" customFormat="1" ht="12" customHeight="1">
      <c r="A59" s="194" t="s">
        <v>211</v>
      </c>
      <c r="B59" s="177" t="s">
        <v>209</v>
      </c>
      <c r="C59" s="164"/>
      <c r="D59" s="251"/>
      <c r="E59" s="101">
        <v>54713</v>
      </c>
    </row>
    <row r="60" spans="1:5" s="51" customFormat="1" ht="12" customHeight="1" thickBot="1">
      <c r="A60" s="195" t="s">
        <v>212</v>
      </c>
      <c r="B60" s="178" t="s">
        <v>210</v>
      </c>
      <c r="C60" s="166"/>
      <c r="D60" s="252"/>
      <c r="E60" s="103"/>
    </row>
    <row r="61" spans="1:5" s="51" customFormat="1" ht="12" customHeight="1" thickBot="1">
      <c r="A61" s="24" t="s">
        <v>13</v>
      </c>
      <c r="B61" s="107" t="s">
        <v>213</v>
      </c>
      <c r="C61" s="163">
        <f>SUM(C62:C64)</f>
        <v>0</v>
      </c>
      <c r="D61" s="249">
        <f>SUM(D62:D64)</f>
        <v>0</v>
      </c>
      <c r="E61" s="100">
        <f>SUM(E62:E64)</f>
        <v>0</v>
      </c>
    </row>
    <row r="62" spans="1:5" s="51" customFormat="1" ht="12" customHeight="1">
      <c r="A62" s="193" t="s">
        <v>122</v>
      </c>
      <c r="B62" s="176" t="s">
        <v>215</v>
      </c>
      <c r="C62" s="167"/>
      <c r="D62" s="307"/>
      <c r="E62" s="104"/>
    </row>
    <row r="63" spans="1:5" s="51" customFormat="1" ht="12" customHeight="1">
      <c r="A63" s="194" t="s">
        <v>123</v>
      </c>
      <c r="B63" s="177" t="s">
        <v>333</v>
      </c>
      <c r="C63" s="167"/>
      <c r="D63" s="307"/>
      <c r="E63" s="104"/>
    </row>
    <row r="64" spans="1:5" s="51" customFormat="1" ht="12" customHeight="1">
      <c r="A64" s="194" t="s">
        <v>146</v>
      </c>
      <c r="B64" s="177" t="s">
        <v>216</v>
      </c>
      <c r="C64" s="167"/>
      <c r="D64" s="307"/>
      <c r="E64" s="104"/>
    </row>
    <row r="65" spans="1:5" s="51" customFormat="1" ht="12" customHeight="1" thickBot="1">
      <c r="A65" s="195" t="s">
        <v>214</v>
      </c>
      <c r="B65" s="178" t="s">
        <v>217</v>
      </c>
      <c r="C65" s="167"/>
      <c r="D65" s="307"/>
      <c r="E65" s="104"/>
    </row>
    <row r="66" spans="1:5" s="51" customFormat="1" ht="12" customHeight="1" thickBot="1">
      <c r="A66" s="24" t="s">
        <v>14</v>
      </c>
      <c r="B66" s="19" t="s">
        <v>218</v>
      </c>
      <c r="C66" s="169">
        <f>+C8+C15+C22+C29+C38+C50+C56+C61</f>
        <v>220576588</v>
      </c>
      <c r="D66" s="253">
        <f>+D8+D15+D22+D29+D38+D50+D56+D61</f>
        <v>239532019</v>
      </c>
      <c r="E66" s="205">
        <f>+E8+E15+E22+E29+E38+E50+E56+E61</f>
        <v>249414846</v>
      </c>
    </row>
    <row r="67" spans="1:5" s="51" customFormat="1" ht="12" customHeight="1" thickBot="1">
      <c r="A67" s="196" t="s">
        <v>303</v>
      </c>
      <c r="B67" s="107" t="s">
        <v>220</v>
      </c>
      <c r="C67" s="163">
        <f>SUM(C68:C70)</f>
        <v>0</v>
      </c>
      <c r="D67" s="249">
        <f>SUM(D68:D70)</f>
        <v>0</v>
      </c>
      <c r="E67" s="100">
        <f>SUM(E68:E70)</f>
        <v>0</v>
      </c>
    </row>
    <row r="68" spans="1:5" s="51" customFormat="1" ht="12" customHeight="1">
      <c r="A68" s="193" t="s">
        <v>248</v>
      </c>
      <c r="B68" s="176" t="s">
        <v>221</v>
      </c>
      <c r="C68" s="167"/>
      <c r="D68" s="307"/>
      <c r="E68" s="104"/>
    </row>
    <row r="69" spans="1:5" s="51" customFormat="1" ht="12" customHeight="1">
      <c r="A69" s="194" t="s">
        <v>257</v>
      </c>
      <c r="B69" s="177" t="s">
        <v>222</v>
      </c>
      <c r="C69" s="167"/>
      <c r="D69" s="307"/>
      <c r="E69" s="104"/>
    </row>
    <row r="70" spans="1:5" s="51" customFormat="1" ht="12" customHeight="1" thickBot="1">
      <c r="A70" s="203" t="s">
        <v>258</v>
      </c>
      <c r="B70" s="342" t="s">
        <v>364</v>
      </c>
      <c r="C70" s="343"/>
      <c r="D70" s="310"/>
      <c r="E70" s="344"/>
    </row>
    <row r="71" spans="1:5" s="51" customFormat="1" ht="12" customHeight="1" thickBot="1">
      <c r="A71" s="196" t="s">
        <v>224</v>
      </c>
      <c r="B71" s="107" t="s">
        <v>225</v>
      </c>
      <c r="C71" s="163">
        <f>SUM(C72:C75)</f>
        <v>0</v>
      </c>
      <c r="D71" s="163">
        <f>SUM(D72:D75)</f>
        <v>0</v>
      </c>
      <c r="E71" s="100">
        <f>SUM(E72:E75)</f>
        <v>0</v>
      </c>
    </row>
    <row r="72" spans="1:5" s="51" customFormat="1" ht="12" customHeight="1">
      <c r="A72" s="193" t="s">
        <v>100</v>
      </c>
      <c r="B72" s="325" t="s">
        <v>226</v>
      </c>
      <c r="C72" s="167"/>
      <c r="D72" s="167"/>
      <c r="E72" s="104"/>
    </row>
    <row r="73" spans="1:5" s="51" customFormat="1" ht="12" customHeight="1">
      <c r="A73" s="194" t="s">
        <v>101</v>
      </c>
      <c r="B73" s="325" t="s">
        <v>495</v>
      </c>
      <c r="C73" s="167"/>
      <c r="D73" s="167"/>
      <c r="E73" s="104"/>
    </row>
    <row r="74" spans="1:5" s="51" customFormat="1" ht="12" customHeight="1">
      <c r="A74" s="194" t="s">
        <v>249</v>
      </c>
      <c r="B74" s="325" t="s">
        <v>227</v>
      </c>
      <c r="C74" s="167"/>
      <c r="D74" s="167"/>
      <c r="E74" s="104"/>
    </row>
    <row r="75" spans="1:5" s="51" customFormat="1" ht="12" customHeight="1" thickBot="1">
      <c r="A75" s="195" t="s">
        <v>250</v>
      </c>
      <c r="B75" s="326" t="s">
        <v>496</v>
      </c>
      <c r="C75" s="167"/>
      <c r="D75" s="167"/>
      <c r="E75" s="104"/>
    </row>
    <row r="76" spans="1:5" s="51" customFormat="1" ht="12" customHeight="1" thickBot="1">
      <c r="A76" s="196" t="s">
        <v>228</v>
      </c>
      <c r="B76" s="107" t="s">
        <v>229</v>
      </c>
      <c r="C76" s="163">
        <f>SUM(C77:C78)</f>
        <v>358699619</v>
      </c>
      <c r="D76" s="163">
        <f>SUM(D77:D78)</f>
        <v>358699619</v>
      </c>
      <c r="E76" s="100">
        <f>SUM(E77:E78)</f>
        <v>358699619</v>
      </c>
    </row>
    <row r="77" spans="1:5" s="51" customFormat="1" ht="12" customHeight="1">
      <c r="A77" s="193" t="s">
        <v>251</v>
      </c>
      <c r="B77" s="176" t="s">
        <v>230</v>
      </c>
      <c r="C77" s="167">
        <v>358699619</v>
      </c>
      <c r="D77" s="167">
        <v>358699619</v>
      </c>
      <c r="E77" s="167">
        <v>358699619</v>
      </c>
    </row>
    <row r="78" spans="1:5" s="51" customFormat="1" ht="12" customHeight="1" thickBot="1">
      <c r="A78" s="195" t="s">
        <v>252</v>
      </c>
      <c r="B78" s="178" t="s">
        <v>231</v>
      </c>
      <c r="C78" s="167"/>
      <c r="D78" s="167"/>
      <c r="E78" s="104"/>
    </row>
    <row r="79" spans="1:5" s="50" customFormat="1" ht="12" customHeight="1" thickBot="1">
      <c r="A79" s="196" t="s">
        <v>232</v>
      </c>
      <c r="B79" s="107" t="s">
        <v>233</v>
      </c>
      <c r="C79" s="163">
        <f>SUM(C80:C82)</f>
        <v>0</v>
      </c>
      <c r="D79" s="163">
        <f>SUM(D80:D82)</f>
        <v>7151762</v>
      </c>
      <c r="E79" s="100">
        <f>SUM(E80:E82)</f>
        <v>7151762</v>
      </c>
    </row>
    <row r="80" spans="1:5" s="51" customFormat="1" ht="12" customHeight="1">
      <c r="A80" s="193" t="s">
        <v>253</v>
      </c>
      <c r="B80" s="176" t="s">
        <v>234</v>
      </c>
      <c r="C80" s="167"/>
      <c r="D80" s="167">
        <v>7151762</v>
      </c>
      <c r="E80" s="104">
        <v>7151762</v>
      </c>
    </row>
    <row r="81" spans="1:5" s="51" customFormat="1" ht="12" customHeight="1">
      <c r="A81" s="194" t="s">
        <v>254</v>
      </c>
      <c r="B81" s="177" t="s">
        <v>235</v>
      </c>
      <c r="C81" s="167"/>
      <c r="D81" s="167"/>
      <c r="E81" s="104"/>
    </row>
    <row r="82" spans="1:5" s="51" customFormat="1" ht="12" customHeight="1" thickBot="1">
      <c r="A82" s="195" t="s">
        <v>255</v>
      </c>
      <c r="B82" s="178" t="s">
        <v>497</v>
      </c>
      <c r="C82" s="167"/>
      <c r="D82" s="167"/>
      <c r="E82" s="104"/>
    </row>
    <row r="83" spans="1:5" s="51" customFormat="1" ht="12" customHeight="1" thickBot="1">
      <c r="A83" s="196" t="s">
        <v>236</v>
      </c>
      <c r="B83" s="107" t="s">
        <v>256</v>
      </c>
      <c r="C83" s="163">
        <f>SUM(C84:C87)</f>
        <v>0</v>
      </c>
      <c r="D83" s="163">
        <f>SUM(D84:D87)</f>
        <v>0</v>
      </c>
      <c r="E83" s="100">
        <f>SUM(E84:E87)</f>
        <v>0</v>
      </c>
    </row>
    <row r="84" spans="1:5" s="51" customFormat="1" ht="12" customHeight="1">
      <c r="A84" s="197" t="s">
        <v>237</v>
      </c>
      <c r="B84" s="176" t="s">
        <v>238</v>
      </c>
      <c r="C84" s="167"/>
      <c r="D84" s="167"/>
      <c r="E84" s="104"/>
    </row>
    <row r="85" spans="1:5" s="51" customFormat="1" ht="12" customHeight="1">
      <c r="A85" s="198" t="s">
        <v>239</v>
      </c>
      <c r="B85" s="177" t="s">
        <v>240</v>
      </c>
      <c r="C85" s="167"/>
      <c r="D85" s="167"/>
      <c r="E85" s="104"/>
    </row>
    <row r="86" spans="1:5" s="51" customFormat="1" ht="12" customHeight="1">
      <c r="A86" s="198" t="s">
        <v>241</v>
      </c>
      <c r="B86" s="177" t="s">
        <v>242</v>
      </c>
      <c r="C86" s="167"/>
      <c r="D86" s="167"/>
      <c r="E86" s="104"/>
    </row>
    <row r="87" spans="1:5" s="50" customFormat="1" ht="12" customHeight="1" thickBot="1">
      <c r="A87" s="199" t="s">
        <v>243</v>
      </c>
      <c r="B87" s="178" t="s">
        <v>244</v>
      </c>
      <c r="C87" s="167"/>
      <c r="D87" s="167"/>
      <c r="E87" s="104"/>
    </row>
    <row r="88" spans="1:5" s="50" customFormat="1" ht="12" customHeight="1" thickBot="1">
      <c r="A88" s="196" t="s">
        <v>245</v>
      </c>
      <c r="B88" s="107" t="s">
        <v>378</v>
      </c>
      <c r="C88" s="219"/>
      <c r="D88" s="219"/>
      <c r="E88" s="220"/>
    </row>
    <row r="89" spans="1:5" s="50" customFormat="1" ht="12" customHeight="1" thickBot="1">
      <c r="A89" s="196" t="s">
        <v>396</v>
      </c>
      <c r="B89" s="107" t="s">
        <v>246</v>
      </c>
      <c r="C89" s="219"/>
      <c r="D89" s="219"/>
      <c r="E89" s="220"/>
    </row>
    <row r="90" spans="1:5" s="50" customFormat="1" ht="12" customHeight="1" thickBot="1">
      <c r="A90" s="196" t="s">
        <v>397</v>
      </c>
      <c r="B90" s="183" t="s">
        <v>381</v>
      </c>
      <c r="C90" s="169">
        <f>+C67+C71+C76+C79+C83+C89+C88</f>
        <v>358699619</v>
      </c>
      <c r="D90" s="169">
        <f>+D67+D71+D76+D79+D83+D89+D88</f>
        <v>365851381</v>
      </c>
      <c r="E90" s="205">
        <f>+E67+E71+E76+E79+E83+E89+E88</f>
        <v>365851381</v>
      </c>
    </row>
    <row r="91" spans="1:5" s="50" customFormat="1" ht="12" customHeight="1" thickBot="1">
      <c r="A91" s="200" t="s">
        <v>398</v>
      </c>
      <c r="B91" s="184" t="s">
        <v>399</v>
      </c>
      <c r="C91" s="169">
        <f>+C66+C90</f>
        <v>579276207</v>
      </c>
      <c r="D91" s="169">
        <f>+D66+D90</f>
        <v>605383400</v>
      </c>
      <c r="E91" s="205">
        <f>+E66+E90</f>
        <v>615266227</v>
      </c>
    </row>
    <row r="92" spans="1:3" s="51" customFormat="1" ht="15" customHeight="1" thickBot="1">
      <c r="A92" s="84"/>
      <c r="B92" s="85"/>
      <c r="C92" s="145"/>
    </row>
    <row r="93" spans="1:5" s="44" customFormat="1" ht="16.5" customHeight="1" thickBot="1">
      <c r="A93" s="872" t="s">
        <v>41</v>
      </c>
      <c r="B93" s="873"/>
      <c r="C93" s="873"/>
      <c r="D93" s="873"/>
      <c r="E93" s="874"/>
    </row>
    <row r="94" spans="1:5" s="52" customFormat="1" ht="12" customHeight="1" thickBot="1">
      <c r="A94" s="170" t="s">
        <v>6</v>
      </c>
      <c r="B94" s="23" t="s">
        <v>403</v>
      </c>
      <c r="C94" s="162">
        <f>+C95+C96+C97+C98+C99+C112</f>
        <v>297587807</v>
      </c>
      <c r="D94" s="162">
        <f>+D95+D96+D97+D98+D99+D112</f>
        <v>540427000</v>
      </c>
      <c r="E94" s="232">
        <f>+E95+E96+E97+E98+E99+E112</f>
        <v>194156280</v>
      </c>
    </row>
    <row r="95" spans="1:5" ht="12" customHeight="1">
      <c r="A95" s="201" t="s">
        <v>64</v>
      </c>
      <c r="B95" s="8" t="s">
        <v>35</v>
      </c>
      <c r="C95" s="239">
        <v>34830000</v>
      </c>
      <c r="D95" s="239">
        <v>37876000</v>
      </c>
      <c r="E95" s="233">
        <v>37701827</v>
      </c>
    </row>
    <row r="96" spans="1:5" ht="12" customHeight="1">
      <c r="A96" s="194" t="s">
        <v>65</v>
      </c>
      <c r="B96" s="6" t="s">
        <v>124</v>
      </c>
      <c r="C96" s="164">
        <v>5550000</v>
      </c>
      <c r="D96" s="164">
        <v>5940000</v>
      </c>
      <c r="E96" s="101">
        <v>5687080</v>
      </c>
    </row>
    <row r="97" spans="1:5" ht="12" customHeight="1">
      <c r="A97" s="194" t="s">
        <v>66</v>
      </c>
      <c r="B97" s="6" t="s">
        <v>92</v>
      </c>
      <c r="C97" s="166">
        <v>35600000</v>
      </c>
      <c r="D97" s="164">
        <v>39737000</v>
      </c>
      <c r="E97" s="103">
        <v>37395146</v>
      </c>
    </row>
    <row r="98" spans="1:5" ht="12" customHeight="1">
      <c r="A98" s="194" t="s">
        <v>67</v>
      </c>
      <c r="B98" s="9" t="s">
        <v>125</v>
      </c>
      <c r="C98" s="166">
        <v>3450000</v>
      </c>
      <c r="D98" s="252">
        <v>3450000</v>
      </c>
      <c r="E98" s="103">
        <v>2908500</v>
      </c>
    </row>
    <row r="99" spans="1:5" ht="12" customHeight="1">
      <c r="A99" s="194" t="s">
        <v>76</v>
      </c>
      <c r="B99" s="17" t="s">
        <v>126</v>
      </c>
      <c r="C99" s="166">
        <v>111841846</v>
      </c>
      <c r="D99" s="252">
        <v>111005000</v>
      </c>
      <c r="E99" s="103">
        <v>110463727</v>
      </c>
    </row>
    <row r="100" spans="1:5" ht="12" customHeight="1">
      <c r="A100" s="194" t="s">
        <v>68</v>
      </c>
      <c r="B100" s="6" t="s">
        <v>400</v>
      </c>
      <c r="C100" s="166"/>
      <c r="D100" s="252"/>
      <c r="E100" s="103"/>
    </row>
    <row r="101" spans="1:5" ht="12" customHeight="1">
      <c r="A101" s="194" t="s">
        <v>69</v>
      </c>
      <c r="B101" s="60" t="s">
        <v>344</v>
      </c>
      <c r="C101" s="166"/>
      <c r="D101" s="252"/>
      <c r="E101" s="103"/>
    </row>
    <row r="102" spans="1:5" ht="12" customHeight="1">
      <c r="A102" s="194" t="s">
        <v>77</v>
      </c>
      <c r="B102" s="60" t="s">
        <v>343</v>
      </c>
      <c r="C102" s="166"/>
      <c r="D102" s="252"/>
      <c r="E102" s="103"/>
    </row>
    <row r="103" spans="1:5" ht="12" customHeight="1">
      <c r="A103" s="194" t="s">
        <v>78</v>
      </c>
      <c r="B103" s="60" t="s">
        <v>262</v>
      </c>
      <c r="C103" s="166"/>
      <c r="D103" s="252"/>
      <c r="E103" s="103"/>
    </row>
    <row r="104" spans="1:5" ht="12" customHeight="1">
      <c r="A104" s="194" t="s">
        <v>79</v>
      </c>
      <c r="B104" s="61" t="s">
        <v>263</v>
      </c>
      <c r="C104" s="166"/>
      <c r="D104" s="252"/>
      <c r="E104" s="103"/>
    </row>
    <row r="105" spans="1:5" ht="12" customHeight="1">
      <c r="A105" s="194" t="s">
        <v>80</v>
      </c>
      <c r="B105" s="61" t="s">
        <v>264</v>
      </c>
      <c r="C105" s="166"/>
      <c r="D105" s="252"/>
      <c r="E105" s="103"/>
    </row>
    <row r="106" spans="1:5" ht="12" customHeight="1">
      <c r="A106" s="194" t="s">
        <v>82</v>
      </c>
      <c r="B106" s="60" t="s">
        <v>265</v>
      </c>
      <c r="C106" s="166">
        <v>109221846</v>
      </c>
      <c r="D106" s="252">
        <v>108685000</v>
      </c>
      <c r="E106" s="103">
        <v>108154226</v>
      </c>
    </row>
    <row r="107" spans="1:5" ht="12" customHeight="1">
      <c r="A107" s="194" t="s">
        <v>127</v>
      </c>
      <c r="B107" s="60" t="s">
        <v>266</v>
      </c>
      <c r="C107" s="166"/>
      <c r="D107" s="252"/>
      <c r="E107" s="103"/>
    </row>
    <row r="108" spans="1:5" ht="12" customHeight="1">
      <c r="A108" s="194" t="s">
        <v>260</v>
      </c>
      <c r="B108" s="61" t="s">
        <v>267</v>
      </c>
      <c r="C108" s="164">
        <v>400000</v>
      </c>
      <c r="D108" s="252">
        <v>50000</v>
      </c>
      <c r="E108" s="103">
        <v>50000</v>
      </c>
    </row>
    <row r="109" spans="1:5" ht="12" customHeight="1">
      <c r="A109" s="202" t="s">
        <v>261</v>
      </c>
      <c r="B109" s="62" t="s">
        <v>268</v>
      </c>
      <c r="C109" s="166"/>
      <c r="D109" s="252"/>
      <c r="E109" s="103"/>
    </row>
    <row r="110" spans="1:5" ht="12" customHeight="1">
      <c r="A110" s="194" t="s">
        <v>341</v>
      </c>
      <c r="B110" s="62" t="s">
        <v>269</v>
      </c>
      <c r="C110" s="166"/>
      <c r="D110" s="252"/>
      <c r="E110" s="103"/>
    </row>
    <row r="111" spans="1:7" ht="12" customHeight="1">
      <c r="A111" s="194" t="s">
        <v>342</v>
      </c>
      <c r="B111" s="61" t="s">
        <v>270</v>
      </c>
      <c r="C111" s="164">
        <v>2220000</v>
      </c>
      <c r="D111" s="251">
        <v>2270000</v>
      </c>
      <c r="E111" s="101">
        <v>2259501</v>
      </c>
      <c r="F111" s="26"/>
      <c r="G111" s="26"/>
    </row>
    <row r="112" spans="1:6" ht="12" customHeight="1">
      <c r="A112" s="194" t="s">
        <v>346</v>
      </c>
      <c r="B112" s="9" t="s">
        <v>36</v>
      </c>
      <c r="C112" s="164">
        <v>106315961</v>
      </c>
      <c r="D112" s="251">
        <v>342419000</v>
      </c>
      <c r="E112" s="101"/>
      <c r="F112" s="26"/>
    </row>
    <row r="113" spans="1:5" ht="12" customHeight="1">
      <c r="A113" s="195" t="s">
        <v>347</v>
      </c>
      <c r="B113" s="6" t="s">
        <v>401</v>
      </c>
      <c r="C113" s="166">
        <v>106315961</v>
      </c>
      <c r="D113" s="252">
        <v>342419000</v>
      </c>
      <c r="E113" s="103"/>
    </row>
    <row r="114" spans="1:5" ht="12" customHeight="1" thickBot="1">
      <c r="A114" s="203" t="s">
        <v>348</v>
      </c>
      <c r="B114" s="63" t="s">
        <v>402</v>
      </c>
      <c r="C114" s="240"/>
      <c r="D114" s="313"/>
      <c r="E114" s="234"/>
    </row>
    <row r="115" spans="1:5" ht="12" customHeight="1" thickBot="1">
      <c r="A115" s="24" t="s">
        <v>7</v>
      </c>
      <c r="B115" s="22" t="s">
        <v>271</v>
      </c>
      <c r="C115" s="163">
        <f>+C116+C118+C120</f>
        <v>226110000</v>
      </c>
      <c r="D115" s="249">
        <f>+D116+D118+D120</f>
        <v>7582000</v>
      </c>
      <c r="E115" s="100">
        <f>+E116+E118+E120</f>
        <v>7031939</v>
      </c>
    </row>
    <row r="116" spans="1:5" ht="12" customHeight="1">
      <c r="A116" s="193" t="s">
        <v>70</v>
      </c>
      <c r="B116" s="6" t="s">
        <v>145</v>
      </c>
      <c r="C116" s="165">
        <v>219160000</v>
      </c>
      <c r="D116" s="250">
        <v>1232000</v>
      </c>
      <c r="E116" s="102">
        <v>1093896</v>
      </c>
    </row>
    <row r="117" spans="1:5" ht="12" customHeight="1">
      <c r="A117" s="193" t="s">
        <v>71</v>
      </c>
      <c r="B117" s="10" t="s">
        <v>275</v>
      </c>
      <c r="C117" s="165"/>
      <c r="D117" s="250"/>
      <c r="E117" s="102"/>
    </row>
    <row r="118" spans="1:5" ht="12" customHeight="1">
      <c r="A118" s="193" t="s">
        <v>72</v>
      </c>
      <c r="B118" s="10" t="s">
        <v>128</v>
      </c>
      <c r="C118" s="164">
        <v>6350000</v>
      </c>
      <c r="D118" s="251">
        <v>5750000</v>
      </c>
      <c r="E118" s="101">
        <v>5638043</v>
      </c>
    </row>
    <row r="119" spans="1:5" ht="12" customHeight="1">
      <c r="A119" s="193" t="s">
        <v>73</v>
      </c>
      <c r="B119" s="10" t="s">
        <v>276</v>
      </c>
      <c r="C119" s="164"/>
      <c r="D119" s="251"/>
      <c r="E119" s="101"/>
    </row>
    <row r="120" spans="1:5" ht="12" customHeight="1">
      <c r="A120" s="193" t="s">
        <v>74</v>
      </c>
      <c r="B120" s="109" t="s">
        <v>147</v>
      </c>
      <c r="C120" s="164">
        <v>600000</v>
      </c>
      <c r="D120" s="251">
        <v>600000</v>
      </c>
      <c r="E120" s="101">
        <v>300000</v>
      </c>
    </row>
    <row r="121" spans="1:5" ht="12" customHeight="1">
      <c r="A121" s="193" t="s">
        <v>81</v>
      </c>
      <c r="B121" s="108" t="s">
        <v>334</v>
      </c>
      <c r="C121" s="164"/>
      <c r="D121" s="251"/>
      <c r="E121" s="101"/>
    </row>
    <row r="122" spans="1:5" ht="12" customHeight="1">
      <c r="A122" s="193" t="s">
        <v>83</v>
      </c>
      <c r="B122" s="172" t="s">
        <v>281</v>
      </c>
      <c r="C122" s="164"/>
      <c r="D122" s="251"/>
      <c r="E122" s="101"/>
    </row>
    <row r="123" spans="1:5" ht="12" customHeight="1">
      <c r="A123" s="193" t="s">
        <v>129</v>
      </c>
      <c r="B123" s="61" t="s">
        <v>264</v>
      </c>
      <c r="C123" s="164"/>
      <c r="D123" s="251"/>
      <c r="E123" s="101"/>
    </row>
    <row r="124" spans="1:5" ht="12" customHeight="1">
      <c r="A124" s="193" t="s">
        <v>130</v>
      </c>
      <c r="B124" s="61" t="s">
        <v>280</v>
      </c>
      <c r="C124" s="164"/>
      <c r="D124" s="251"/>
      <c r="E124" s="101"/>
    </row>
    <row r="125" spans="1:5" ht="12" customHeight="1">
      <c r="A125" s="193" t="s">
        <v>131</v>
      </c>
      <c r="B125" s="61" t="s">
        <v>279</v>
      </c>
      <c r="C125" s="164"/>
      <c r="D125" s="251"/>
      <c r="E125" s="101"/>
    </row>
    <row r="126" spans="1:5" ht="12" customHeight="1">
      <c r="A126" s="193" t="s">
        <v>272</v>
      </c>
      <c r="B126" s="61" t="s">
        <v>267</v>
      </c>
      <c r="C126" s="164"/>
      <c r="D126" s="251"/>
      <c r="E126" s="101"/>
    </row>
    <row r="127" spans="1:5" ht="12" customHeight="1">
      <c r="A127" s="193" t="s">
        <v>273</v>
      </c>
      <c r="B127" s="61" t="s">
        <v>278</v>
      </c>
      <c r="C127" s="164">
        <v>600000</v>
      </c>
      <c r="D127" s="251">
        <v>600000</v>
      </c>
      <c r="E127" s="101">
        <v>300000</v>
      </c>
    </row>
    <row r="128" spans="1:5" ht="12" customHeight="1" thickBot="1">
      <c r="A128" s="202" t="s">
        <v>274</v>
      </c>
      <c r="B128" s="61" t="s">
        <v>277</v>
      </c>
      <c r="C128" s="166"/>
      <c r="D128" s="252"/>
      <c r="E128" s="103"/>
    </row>
    <row r="129" spans="1:5" ht="12" customHeight="1" thickBot="1">
      <c r="A129" s="24" t="s">
        <v>8</v>
      </c>
      <c r="B129" s="56" t="s">
        <v>351</v>
      </c>
      <c r="C129" s="163">
        <f>+C94+C115</f>
        <v>523697807</v>
      </c>
      <c r="D129" s="249">
        <f>+D94+D115</f>
        <v>548009000</v>
      </c>
      <c r="E129" s="100">
        <f>+E94+E115</f>
        <v>201188219</v>
      </c>
    </row>
    <row r="130" spans="1:5" ht="12" customHeight="1" thickBot="1">
      <c r="A130" s="24" t="s">
        <v>9</v>
      </c>
      <c r="B130" s="56" t="s">
        <v>352</v>
      </c>
      <c r="C130" s="163">
        <f>+C131+C132+C133</f>
        <v>0</v>
      </c>
      <c r="D130" s="249">
        <f>+D131+D132+D133</f>
        <v>0</v>
      </c>
      <c r="E130" s="100">
        <f>+E131+E132+E133</f>
        <v>0</v>
      </c>
    </row>
    <row r="131" spans="1:5" s="52" customFormat="1" ht="12" customHeight="1">
      <c r="A131" s="193" t="s">
        <v>179</v>
      </c>
      <c r="B131" s="7" t="s">
        <v>406</v>
      </c>
      <c r="C131" s="164"/>
      <c r="D131" s="251"/>
      <c r="E131" s="101"/>
    </row>
    <row r="132" spans="1:5" ht="12" customHeight="1">
      <c r="A132" s="193" t="s">
        <v>180</v>
      </c>
      <c r="B132" s="7" t="s">
        <v>360</v>
      </c>
      <c r="C132" s="164"/>
      <c r="D132" s="251"/>
      <c r="E132" s="101"/>
    </row>
    <row r="133" spans="1:5" ht="12" customHeight="1" thickBot="1">
      <c r="A133" s="202" t="s">
        <v>181</v>
      </c>
      <c r="B133" s="5" t="s">
        <v>405</v>
      </c>
      <c r="C133" s="164"/>
      <c r="D133" s="251"/>
      <c r="E133" s="101"/>
    </row>
    <row r="134" spans="1:5" ht="12" customHeight="1" thickBot="1">
      <c r="A134" s="24" t="s">
        <v>10</v>
      </c>
      <c r="B134" s="56" t="s">
        <v>353</v>
      </c>
      <c r="C134" s="163">
        <f>+C135+C136+C137+C138+C139+C140</f>
        <v>0</v>
      </c>
      <c r="D134" s="249">
        <f>+D135+D136+D137+D138+D139+D140</f>
        <v>0</v>
      </c>
      <c r="E134" s="100">
        <f>+E135+E136+E137+E138+E139+E140</f>
        <v>0</v>
      </c>
    </row>
    <row r="135" spans="1:5" ht="12" customHeight="1">
      <c r="A135" s="193" t="s">
        <v>57</v>
      </c>
      <c r="B135" s="7" t="s">
        <v>362</v>
      </c>
      <c r="C135" s="164"/>
      <c r="D135" s="251"/>
      <c r="E135" s="101"/>
    </row>
    <row r="136" spans="1:5" ht="12" customHeight="1">
      <c r="A136" s="193" t="s">
        <v>58</v>
      </c>
      <c r="B136" s="7" t="s">
        <v>354</v>
      </c>
      <c r="C136" s="164"/>
      <c r="D136" s="251"/>
      <c r="E136" s="101"/>
    </row>
    <row r="137" spans="1:5" ht="12" customHeight="1">
      <c r="A137" s="193" t="s">
        <v>59</v>
      </c>
      <c r="B137" s="7" t="s">
        <v>355</v>
      </c>
      <c r="C137" s="164"/>
      <c r="D137" s="251"/>
      <c r="E137" s="101"/>
    </row>
    <row r="138" spans="1:5" ht="12" customHeight="1">
      <c r="A138" s="193" t="s">
        <v>116</v>
      </c>
      <c r="B138" s="7" t="s">
        <v>404</v>
      </c>
      <c r="C138" s="164"/>
      <c r="D138" s="251"/>
      <c r="E138" s="101"/>
    </row>
    <row r="139" spans="1:5" ht="12" customHeight="1">
      <c r="A139" s="193" t="s">
        <v>117</v>
      </c>
      <c r="B139" s="7" t="s">
        <v>357</v>
      </c>
      <c r="C139" s="164"/>
      <c r="D139" s="251"/>
      <c r="E139" s="101"/>
    </row>
    <row r="140" spans="1:5" s="52" customFormat="1" ht="12" customHeight="1" thickBot="1">
      <c r="A140" s="202" t="s">
        <v>118</v>
      </c>
      <c r="B140" s="5" t="s">
        <v>358</v>
      </c>
      <c r="C140" s="164"/>
      <c r="D140" s="251"/>
      <c r="E140" s="101"/>
    </row>
    <row r="141" spans="1:11" ht="12" customHeight="1" thickBot="1">
      <c r="A141" s="24" t="s">
        <v>11</v>
      </c>
      <c r="B141" s="56" t="s">
        <v>415</v>
      </c>
      <c r="C141" s="169">
        <f>+C142+C143+C145+C146+C144</f>
        <v>55578400</v>
      </c>
      <c r="D141" s="253">
        <f>+D142+D143+D145+D146+D144</f>
        <v>57374400</v>
      </c>
      <c r="E141" s="205">
        <f>+E142+E143+E145+E146+E144</f>
        <v>57373925</v>
      </c>
      <c r="K141" s="93"/>
    </row>
    <row r="142" spans="1:5" ht="12.75">
      <c r="A142" s="193" t="s">
        <v>60</v>
      </c>
      <c r="B142" s="7" t="s">
        <v>282</v>
      </c>
      <c r="C142" s="164"/>
      <c r="D142" s="251"/>
      <c r="E142" s="101"/>
    </row>
    <row r="143" spans="1:5" ht="12" customHeight="1">
      <c r="A143" s="193" t="s">
        <v>61</v>
      </c>
      <c r="B143" s="7" t="s">
        <v>283</v>
      </c>
      <c r="C143" s="164">
        <v>6289400</v>
      </c>
      <c r="D143" s="251">
        <v>6289400</v>
      </c>
      <c r="E143" s="101">
        <v>6289400</v>
      </c>
    </row>
    <row r="144" spans="1:5" ht="12" customHeight="1">
      <c r="A144" s="193" t="s">
        <v>199</v>
      </c>
      <c r="B144" s="7" t="s">
        <v>414</v>
      </c>
      <c r="C144" s="164">
        <v>49289000</v>
      </c>
      <c r="D144" s="251">
        <v>51085000</v>
      </c>
      <c r="E144" s="101">
        <v>51084525</v>
      </c>
    </row>
    <row r="145" spans="1:5" s="52" customFormat="1" ht="12" customHeight="1">
      <c r="A145" s="193" t="s">
        <v>200</v>
      </c>
      <c r="B145" s="7" t="s">
        <v>367</v>
      </c>
      <c r="C145" s="164"/>
      <c r="D145" s="251"/>
      <c r="E145" s="101"/>
    </row>
    <row r="146" spans="1:5" s="52" customFormat="1" ht="12" customHeight="1" thickBot="1">
      <c r="A146" s="202" t="s">
        <v>201</v>
      </c>
      <c r="B146" s="5" t="s">
        <v>299</v>
      </c>
      <c r="C146" s="164"/>
      <c r="D146" s="251"/>
      <c r="E146" s="101"/>
    </row>
    <row r="147" spans="1:5" s="52" customFormat="1" ht="12" customHeight="1" thickBot="1">
      <c r="A147" s="24" t="s">
        <v>12</v>
      </c>
      <c r="B147" s="56" t="s">
        <v>368</v>
      </c>
      <c r="C147" s="242">
        <f>+C148+C149+C150+C151+C152</f>
        <v>0</v>
      </c>
      <c r="D147" s="254">
        <f>+D148+D149+D150+D151+D152</f>
        <v>0</v>
      </c>
      <c r="E147" s="236">
        <f>+E148+E149+E150+E151+E152</f>
        <v>0</v>
      </c>
    </row>
    <row r="148" spans="1:5" s="52" customFormat="1" ht="12" customHeight="1">
      <c r="A148" s="193" t="s">
        <v>62</v>
      </c>
      <c r="B148" s="7" t="s">
        <v>363</v>
      </c>
      <c r="C148" s="164"/>
      <c r="D148" s="251"/>
      <c r="E148" s="101"/>
    </row>
    <row r="149" spans="1:5" s="52" customFormat="1" ht="12" customHeight="1">
      <c r="A149" s="193" t="s">
        <v>63</v>
      </c>
      <c r="B149" s="7" t="s">
        <v>370</v>
      </c>
      <c r="C149" s="164"/>
      <c r="D149" s="251"/>
      <c r="E149" s="101"/>
    </row>
    <row r="150" spans="1:5" s="52" customFormat="1" ht="12" customHeight="1">
      <c r="A150" s="193" t="s">
        <v>211</v>
      </c>
      <c r="B150" s="7" t="s">
        <v>365</v>
      </c>
      <c r="C150" s="164"/>
      <c r="D150" s="251"/>
      <c r="E150" s="101"/>
    </row>
    <row r="151" spans="1:5" s="52" customFormat="1" ht="12" customHeight="1">
      <c r="A151" s="193" t="s">
        <v>212</v>
      </c>
      <c r="B151" s="7" t="s">
        <v>407</v>
      </c>
      <c r="C151" s="164"/>
      <c r="D151" s="251"/>
      <c r="E151" s="101"/>
    </row>
    <row r="152" spans="1:5" ht="12.75" customHeight="1" thickBot="1">
      <c r="A152" s="202" t="s">
        <v>369</v>
      </c>
      <c r="B152" s="5" t="s">
        <v>372</v>
      </c>
      <c r="C152" s="166"/>
      <c r="D152" s="252"/>
      <c r="E152" s="103"/>
    </row>
    <row r="153" spans="1:5" ht="12.75" customHeight="1" thickBot="1">
      <c r="A153" s="231" t="s">
        <v>13</v>
      </c>
      <c r="B153" s="56" t="s">
        <v>373</v>
      </c>
      <c r="C153" s="242"/>
      <c r="D153" s="254"/>
      <c r="E153" s="236"/>
    </row>
    <row r="154" spans="1:5" ht="12.75" customHeight="1" thickBot="1">
      <c r="A154" s="231" t="s">
        <v>14</v>
      </c>
      <c r="B154" s="56" t="s">
        <v>374</v>
      </c>
      <c r="C154" s="242"/>
      <c r="D154" s="254"/>
      <c r="E154" s="236"/>
    </row>
    <row r="155" spans="1:5" ht="12" customHeight="1" thickBot="1">
      <c r="A155" s="24" t="s">
        <v>15</v>
      </c>
      <c r="B155" s="56" t="s">
        <v>376</v>
      </c>
      <c r="C155" s="244">
        <f>+C130+C134+C141+C147+C153+C154</f>
        <v>55578400</v>
      </c>
      <c r="D155" s="256">
        <f>+D130+D134+D141+D147+D153+D154</f>
        <v>57374400</v>
      </c>
      <c r="E155" s="238">
        <f>+E130+E134+E141+E147+E153+E154</f>
        <v>57373925</v>
      </c>
    </row>
    <row r="156" spans="1:5" ht="15" customHeight="1" thickBot="1">
      <c r="A156" s="204" t="s">
        <v>16</v>
      </c>
      <c r="B156" s="150" t="s">
        <v>375</v>
      </c>
      <c r="C156" s="244">
        <f>+C129+C155</f>
        <v>579276207</v>
      </c>
      <c r="D156" s="256">
        <f>+D129+D155</f>
        <v>605383400</v>
      </c>
      <c r="E156" s="238">
        <f>+E129+E155</f>
        <v>258562144</v>
      </c>
    </row>
    <row r="157" spans="1:5" ht="13.5" thickBot="1">
      <c r="A157" s="153"/>
      <c r="B157" s="154"/>
      <c r="C157" s="666">
        <f>C91-C156</f>
        <v>0</v>
      </c>
      <c r="D157" s="666">
        <f>D91-D156</f>
        <v>0</v>
      </c>
      <c r="E157" s="666"/>
    </row>
    <row r="158" spans="1:5" ht="15" customHeight="1" thickBot="1">
      <c r="A158" s="91" t="s">
        <v>490</v>
      </c>
      <c r="B158" s="92"/>
      <c r="C158" s="312">
        <v>13</v>
      </c>
      <c r="D158" s="312">
        <v>13</v>
      </c>
      <c r="E158" s="311">
        <v>13</v>
      </c>
    </row>
    <row r="159" spans="1:5" ht="14.25" customHeight="1" thickBot="1">
      <c r="A159" s="91" t="s">
        <v>491</v>
      </c>
      <c r="B159" s="92"/>
      <c r="C159" s="312">
        <v>12</v>
      </c>
      <c r="D159" s="312">
        <v>12</v>
      </c>
      <c r="E159" s="311">
        <v>11</v>
      </c>
    </row>
    <row r="161" ht="12.75">
      <c r="E161" s="26"/>
    </row>
  </sheetData>
  <sheetProtection selectLockedCells="1" selectUnlockedCells="1"/>
  <mergeCells count="5">
    <mergeCell ref="A7:E7"/>
    <mergeCell ref="B2:D2"/>
    <mergeCell ref="B3:D3"/>
    <mergeCell ref="A93:E9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0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20" zoomScaleNormal="120" zoomScaleSheetLayoutView="100" workbookViewId="0" topLeftCell="A1">
      <selection activeCell="F4" sqref="F4"/>
    </sheetView>
  </sheetViews>
  <sheetFormatPr defaultColWidth="9.00390625" defaultRowHeight="12.75"/>
  <cols>
    <col min="1" max="1" width="16.125" style="156" customWidth="1"/>
    <col min="2" max="2" width="62.00390625" style="157" customWidth="1"/>
    <col min="3" max="3" width="14.125" style="158" customWidth="1"/>
    <col min="4" max="5" width="14.125" style="2" customWidth="1"/>
    <col min="6" max="6" width="10.875" style="2" bestFit="1" customWidth="1"/>
    <col min="7" max="16384" width="9.375" style="2" customWidth="1"/>
  </cols>
  <sheetData>
    <row r="1" spans="1:5" s="1" customFormat="1" ht="16.5" customHeight="1" thickBot="1">
      <c r="A1" s="345"/>
      <c r="B1" s="876" t="str">
        <f>CONCATENATE("6.1.1. melléklet ",Z_ALAPADATOK!A7," ",Z_ALAPADATOK!B7," ",Z_ALAPADATOK!C7," ",Z_ALAPADATOK!D7," ",Z_ALAPADATOK!E7," ",Z_ALAPADATOK!F7," ",Z_ALAPADATOK!G7," ",Z_ALAPADATOK!H7)</f>
        <v>6.1.1. melléklet a 12 / 2020. ( VII.16. ) önkormányzati rendelethez</v>
      </c>
      <c r="C1" s="877"/>
      <c r="D1" s="877"/>
      <c r="E1" s="877"/>
    </row>
    <row r="2" spans="1:5" s="48" customFormat="1" ht="21" customHeight="1" thickBot="1">
      <c r="A2" s="354" t="s">
        <v>45</v>
      </c>
      <c r="B2" s="875" t="str">
        <f>CONCATENATE(Z_ALAPADATOK!A3)</f>
        <v>Szalánta Községi Önkormányzat</v>
      </c>
      <c r="C2" s="875"/>
      <c r="D2" s="875"/>
      <c r="E2" s="355" t="s">
        <v>39</v>
      </c>
    </row>
    <row r="3" spans="1:5" s="48" customFormat="1" ht="24.75" thickBot="1">
      <c r="A3" s="354" t="s">
        <v>137</v>
      </c>
      <c r="B3" s="875" t="s">
        <v>325</v>
      </c>
      <c r="C3" s="875"/>
      <c r="D3" s="875"/>
      <c r="E3" s="356" t="s">
        <v>43</v>
      </c>
    </row>
    <row r="4" spans="1:5" s="49" customFormat="1" ht="15.75" customHeight="1" thickBot="1">
      <c r="A4" s="348"/>
      <c r="B4" s="348"/>
      <c r="C4" s="349"/>
      <c r="D4" s="350"/>
      <c r="E4" s="349" t="str">
        <f>'Z_6.1.sz.mell'!E4</f>
        <v>Forintban</v>
      </c>
    </row>
    <row r="5" spans="1:5" ht="24.75" thickBot="1">
      <c r="A5" s="351" t="s">
        <v>138</v>
      </c>
      <c r="B5" s="352" t="s">
        <v>489</v>
      </c>
      <c r="C5" s="352" t="s">
        <v>454</v>
      </c>
      <c r="D5" s="353" t="s">
        <v>455</v>
      </c>
      <c r="E5" s="334" t="str">
        <f>CONCATENATE('Z_6.1.sz.mell'!E5)</f>
        <v>Teljesítés
2019. XII. 31.</v>
      </c>
    </row>
    <row r="6" spans="1:5" s="44" customFormat="1" ht="12.75" customHeight="1" thickBot="1">
      <c r="A6" s="72" t="s">
        <v>387</v>
      </c>
      <c r="B6" s="73" t="s">
        <v>388</v>
      </c>
      <c r="C6" s="73" t="s">
        <v>389</v>
      </c>
      <c r="D6" s="306" t="s">
        <v>391</v>
      </c>
      <c r="E6" s="74" t="s">
        <v>390</v>
      </c>
    </row>
    <row r="7" spans="1:5" s="44" customFormat="1" ht="15.75" customHeight="1" thickBot="1">
      <c r="A7" s="872" t="s">
        <v>40</v>
      </c>
      <c r="B7" s="873"/>
      <c r="C7" s="873"/>
      <c r="D7" s="873"/>
      <c r="E7" s="874"/>
    </row>
    <row r="8" spans="1:5" s="44" customFormat="1" ht="12" customHeight="1" thickBot="1">
      <c r="A8" s="24" t="s">
        <v>6</v>
      </c>
      <c r="B8" s="19" t="s">
        <v>164</v>
      </c>
      <c r="C8" s="163">
        <f>+C9+C10+C11+C12+C13+C14</f>
        <v>173789722</v>
      </c>
      <c r="D8" s="249">
        <f>+D9+D10+D11+D12+D13+D14</f>
        <v>186371785</v>
      </c>
      <c r="E8" s="100">
        <f>+E9+E10+E11+E12+E13+E14</f>
        <v>186371785</v>
      </c>
    </row>
    <row r="9" spans="1:5" s="50" customFormat="1" ht="12" customHeight="1">
      <c r="A9" s="193" t="s">
        <v>64</v>
      </c>
      <c r="B9" s="176" t="s">
        <v>165</v>
      </c>
      <c r="C9" s="165">
        <v>59002426</v>
      </c>
      <c r="D9" s="250">
        <v>61425576</v>
      </c>
      <c r="E9" s="250">
        <v>61425576</v>
      </c>
    </row>
    <row r="10" spans="1:5" s="51" customFormat="1" ht="12" customHeight="1">
      <c r="A10" s="194" t="s">
        <v>65</v>
      </c>
      <c r="B10" s="177" t="s">
        <v>166</v>
      </c>
      <c r="C10" s="164">
        <v>57190699</v>
      </c>
      <c r="D10" s="251">
        <v>56671559</v>
      </c>
      <c r="E10" s="251">
        <v>56671559</v>
      </c>
    </row>
    <row r="11" spans="1:5" s="51" customFormat="1" ht="12" customHeight="1">
      <c r="A11" s="194" t="s">
        <v>66</v>
      </c>
      <c r="B11" s="177" t="s">
        <v>167</v>
      </c>
      <c r="C11" s="164">
        <v>55796597</v>
      </c>
      <c r="D11" s="251">
        <v>57316990</v>
      </c>
      <c r="E11" s="251">
        <v>57316990</v>
      </c>
    </row>
    <row r="12" spans="1:5" s="51" customFormat="1" ht="12" customHeight="1">
      <c r="A12" s="194" t="s">
        <v>67</v>
      </c>
      <c r="B12" s="177" t="s">
        <v>168</v>
      </c>
      <c r="C12" s="164">
        <v>1800000</v>
      </c>
      <c r="D12" s="251">
        <v>1800000</v>
      </c>
      <c r="E12" s="251">
        <v>1800000</v>
      </c>
    </row>
    <row r="13" spans="1:5" s="51" customFormat="1" ht="12" customHeight="1">
      <c r="A13" s="194" t="s">
        <v>99</v>
      </c>
      <c r="B13" s="177" t="s">
        <v>395</v>
      </c>
      <c r="C13" s="164"/>
      <c r="D13" s="251">
        <v>8967200</v>
      </c>
      <c r="E13" s="251">
        <v>8967200</v>
      </c>
    </row>
    <row r="14" spans="1:5" s="50" customFormat="1" ht="12" customHeight="1" thickBot="1">
      <c r="A14" s="195" t="s">
        <v>68</v>
      </c>
      <c r="B14" s="178" t="s">
        <v>336</v>
      </c>
      <c r="C14" s="164"/>
      <c r="D14" s="251">
        <v>190460</v>
      </c>
      <c r="E14" s="251">
        <v>190460</v>
      </c>
    </row>
    <row r="15" spans="1:5" s="50" customFormat="1" ht="12" customHeight="1" thickBot="1">
      <c r="A15" s="24" t="s">
        <v>7</v>
      </c>
      <c r="B15" s="107" t="s">
        <v>169</v>
      </c>
      <c r="C15" s="163">
        <f>+C16+C17+C18+C19+C20</f>
        <v>14588366</v>
      </c>
      <c r="D15" s="249">
        <f>+D16+D17+D18+D19+D20</f>
        <v>20961734</v>
      </c>
      <c r="E15" s="100">
        <f>+E16+E17+E18+E19+E20</f>
        <v>21663657</v>
      </c>
    </row>
    <row r="16" spans="1:5" s="50" customFormat="1" ht="12" customHeight="1">
      <c r="A16" s="193" t="s">
        <v>70</v>
      </c>
      <c r="B16" s="176" t="s">
        <v>170</v>
      </c>
      <c r="C16" s="165"/>
      <c r="D16" s="250"/>
      <c r="E16" s="102"/>
    </row>
    <row r="17" spans="1:5" s="50" customFormat="1" ht="12" customHeight="1">
      <c r="A17" s="194" t="s">
        <v>71</v>
      </c>
      <c r="B17" s="177" t="s">
        <v>171</v>
      </c>
      <c r="C17" s="164"/>
      <c r="D17" s="251"/>
      <c r="E17" s="101"/>
    </row>
    <row r="18" spans="1:5" s="50" customFormat="1" ht="12" customHeight="1">
      <c r="A18" s="194" t="s">
        <v>72</v>
      </c>
      <c r="B18" s="177" t="s">
        <v>328</v>
      </c>
      <c r="C18" s="164"/>
      <c r="D18" s="251"/>
      <c r="E18" s="101"/>
    </row>
    <row r="19" spans="1:5" s="50" customFormat="1" ht="12" customHeight="1">
      <c r="A19" s="194" t="s">
        <v>73</v>
      </c>
      <c r="B19" s="177" t="s">
        <v>329</v>
      </c>
      <c r="C19" s="164"/>
      <c r="D19" s="251"/>
      <c r="E19" s="101"/>
    </row>
    <row r="20" spans="1:5" s="50" customFormat="1" ht="12" customHeight="1">
      <c r="A20" s="194" t="s">
        <v>74</v>
      </c>
      <c r="B20" s="177" t="s">
        <v>172</v>
      </c>
      <c r="C20" s="164">
        <v>14588366</v>
      </c>
      <c r="D20" s="251">
        <v>20961734</v>
      </c>
      <c r="E20" s="101">
        <v>21663657</v>
      </c>
    </row>
    <row r="21" spans="1:5" s="51" customFormat="1" ht="12" customHeight="1" thickBot="1">
      <c r="A21" s="195" t="s">
        <v>81</v>
      </c>
      <c r="B21" s="178" t="s">
        <v>173</v>
      </c>
      <c r="C21" s="166"/>
      <c r="D21" s="252">
        <v>4000000</v>
      </c>
      <c r="E21" s="103">
        <v>4000000</v>
      </c>
    </row>
    <row r="22" spans="1:5" s="51" customFormat="1" ht="12" customHeight="1" thickBot="1">
      <c r="A22" s="24" t="s">
        <v>8</v>
      </c>
      <c r="B22" s="19" t="s">
        <v>174</v>
      </c>
      <c r="C22" s="163">
        <f>+C23+C24+C25+C26+C27</f>
        <v>0</v>
      </c>
      <c r="D22" s="249">
        <f>+D23+D24+D25+D26+D27</f>
        <v>0</v>
      </c>
      <c r="E22" s="100">
        <f>+E23+E24+E25+E26+E27</f>
        <v>0</v>
      </c>
    </row>
    <row r="23" spans="1:5" s="51" customFormat="1" ht="12" customHeight="1">
      <c r="A23" s="193" t="s">
        <v>53</v>
      </c>
      <c r="B23" s="176" t="s">
        <v>175</v>
      </c>
      <c r="C23" s="165"/>
      <c r="D23" s="250"/>
      <c r="E23" s="102"/>
    </row>
    <row r="24" spans="1:5" s="50" customFormat="1" ht="12" customHeight="1">
      <c r="A24" s="194" t="s">
        <v>54</v>
      </c>
      <c r="B24" s="177" t="s">
        <v>176</v>
      </c>
      <c r="C24" s="164"/>
      <c r="D24" s="251"/>
      <c r="E24" s="101"/>
    </row>
    <row r="25" spans="1:5" s="51" customFormat="1" ht="12" customHeight="1">
      <c r="A25" s="194" t="s">
        <v>55</v>
      </c>
      <c r="B25" s="177" t="s">
        <v>330</v>
      </c>
      <c r="C25" s="164"/>
      <c r="D25" s="251"/>
      <c r="E25" s="101"/>
    </row>
    <row r="26" spans="1:5" s="51" customFormat="1" ht="12" customHeight="1">
      <c r="A26" s="194" t="s">
        <v>56</v>
      </c>
      <c r="B26" s="177" t="s">
        <v>331</v>
      </c>
      <c r="C26" s="164"/>
      <c r="D26" s="251"/>
      <c r="E26" s="101"/>
    </row>
    <row r="27" spans="1:5" s="51" customFormat="1" ht="12" customHeight="1">
      <c r="A27" s="194" t="s">
        <v>112</v>
      </c>
      <c r="B27" s="177" t="s">
        <v>177</v>
      </c>
      <c r="C27" s="164"/>
      <c r="D27" s="251"/>
      <c r="E27" s="101"/>
    </row>
    <row r="28" spans="1:5" s="51" customFormat="1" ht="12" customHeight="1" thickBot="1">
      <c r="A28" s="195" t="s">
        <v>113</v>
      </c>
      <c r="B28" s="178" t="s">
        <v>178</v>
      </c>
      <c r="C28" s="166"/>
      <c r="D28" s="252"/>
      <c r="E28" s="103"/>
    </row>
    <row r="29" spans="1:5" s="51" customFormat="1" ht="12" customHeight="1" thickBot="1">
      <c r="A29" s="24" t="s">
        <v>114</v>
      </c>
      <c r="B29" s="19" t="s">
        <v>481</v>
      </c>
      <c r="C29" s="169">
        <f>SUM(C30:C37)</f>
        <v>23500000</v>
      </c>
      <c r="D29" s="169">
        <f>SUM(D30:D37)</f>
        <v>23500000</v>
      </c>
      <c r="E29" s="205">
        <f>SUM(E30:E37)</f>
        <v>30914145</v>
      </c>
    </row>
    <row r="30" spans="1:5" s="51" customFormat="1" ht="12" customHeight="1">
      <c r="A30" s="193" t="s">
        <v>179</v>
      </c>
      <c r="B30" s="176" t="s">
        <v>482</v>
      </c>
      <c r="C30" s="165"/>
      <c r="D30" s="165"/>
      <c r="E30" s="102"/>
    </row>
    <row r="31" spans="1:5" s="51" customFormat="1" ht="12" customHeight="1">
      <c r="A31" s="193" t="s">
        <v>879</v>
      </c>
      <c r="B31" s="176" t="s">
        <v>878</v>
      </c>
      <c r="C31" s="165">
        <v>2100000</v>
      </c>
      <c r="D31" s="165">
        <v>2100000</v>
      </c>
      <c r="E31" s="102">
        <v>2565863</v>
      </c>
    </row>
    <row r="32" spans="1:5" s="51" customFormat="1" ht="12" customHeight="1">
      <c r="A32" s="194" t="s">
        <v>181</v>
      </c>
      <c r="B32" s="177" t="s">
        <v>883</v>
      </c>
      <c r="C32" s="164"/>
      <c r="D32" s="164"/>
      <c r="E32" s="101"/>
    </row>
    <row r="33" spans="1:5" s="51" customFormat="1" ht="12" customHeight="1">
      <c r="A33" s="194" t="s">
        <v>182</v>
      </c>
      <c r="B33" s="177" t="s">
        <v>483</v>
      </c>
      <c r="C33" s="164">
        <v>17000000</v>
      </c>
      <c r="D33" s="164">
        <v>17000000</v>
      </c>
      <c r="E33" s="101">
        <v>23747296</v>
      </c>
    </row>
    <row r="34" spans="1:5" s="51" customFormat="1" ht="12" customHeight="1">
      <c r="A34" s="194" t="s">
        <v>880</v>
      </c>
      <c r="B34" s="177" t="s">
        <v>484</v>
      </c>
      <c r="C34" s="164"/>
      <c r="D34" s="164"/>
      <c r="E34" s="101"/>
    </row>
    <row r="35" spans="1:5" s="51" customFormat="1" ht="12" customHeight="1">
      <c r="A35" s="194" t="s">
        <v>486</v>
      </c>
      <c r="B35" s="177" t="s">
        <v>183</v>
      </c>
      <c r="C35" s="164">
        <v>4000000</v>
      </c>
      <c r="D35" s="164">
        <v>4000000</v>
      </c>
      <c r="E35" s="101">
        <v>4367476</v>
      </c>
    </row>
    <row r="36" spans="1:5" s="51" customFormat="1" ht="12" customHeight="1">
      <c r="A36" s="194" t="s">
        <v>487</v>
      </c>
      <c r="B36" s="177" t="s">
        <v>184</v>
      </c>
      <c r="C36" s="164"/>
      <c r="D36" s="164"/>
      <c r="E36" s="101"/>
    </row>
    <row r="37" spans="1:5" s="51" customFormat="1" ht="12" customHeight="1" thickBot="1">
      <c r="A37" s="195" t="s">
        <v>881</v>
      </c>
      <c r="B37" s="318" t="s">
        <v>185</v>
      </c>
      <c r="C37" s="166">
        <v>400000</v>
      </c>
      <c r="D37" s="166">
        <v>400000</v>
      </c>
      <c r="E37" s="103">
        <v>233510</v>
      </c>
    </row>
    <row r="38" spans="1:5" s="51" customFormat="1" ht="12" customHeight="1" thickBot="1">
      <c r="A38" s="24" t="s">
        <v>10</v>
      </c>
      <c r="B38" s="19" t="s">
        <v>337</v>
      </c>
      <c r="C38" s="163">
        <f>SUM(C39:C49)</f>
        <v>8298500</v>
      </c>
      <c r="D38" s="249">
        <f>SUM(D39:D49)</f>
        <v>8298500</v>
      </c>
      <c r="E38" s="100">
        <f>SUM(E39:E49)</f>
        <v>9971074</v>
      </c>
    </row>
    <row r="39" spans="1:5" s="51" customFormat="1" ht="12" customHeight="1">
      <c r="A39" s="193" t="s">
        <v>57</v>
      </c>
      <c r="B39" s="176" t="s">
        <v>188</v>
      </c>
      <c r="C39" s="165"/>
      <c r="D39" s="250"/>
      <c r="E39" s="102"/>
    </row>
    <row r="40" spans="1:5" s="51" customFormat="1" ht="12" customHeight="1">
      <c r="A40" s="194" t="s">
        <v>58</v>
      </c>
      <c r="B40" s="177" t="s">
        <v>189</v>
      </c>
      <c r="C40" s="164">
        <v>1100000</v>
      </c>
      <c r="D40" s="164">
        <v>1100000</v>
      </c>
      <c r="E40" s="101">
        <v>1540519</v>
      </c>
    </row>
    <row r="41" spans="1:5" s="51" customFormat="1" ht="12" customHeight="1">
      <c r="A41" s="194" t="s">
        <v>59</v>
      </c>
      <c r="B41" s="177" t="s">
        <v>190</v>
      </c>
      <c r="C41" s="164">
        <v>3700000</v>
      </c>
      <c r="D41" s="164">
        <v>3700000</v>
      </c>
      <c r="E41" s="101">
        <v>3827269</v>
      </c>
    </row>
    <row r="42" spans="1:5" s="51" customFormat="1" ht="12" customHeight="1">
      <c r="A42" s="194" t="s">
        <v>116</v>
      </c>
      <c r="B42" s="177" t="s">
        <v>191</v>
      </c>
      <c r="C42" s="164">
        <v>2000000</v>
      </c>
      <c r="D42" s="164">
        <v>2000000</v>
      </c>
      <c r="E42" s="101">
        <v>2574607</v>
      </c>
    </row>
    <row r="43" spans="1:5" s="51" customFormat="1" ht="12" customHeight="1">
      <c r="A43" s="194" t="s">
        <v>117</v>
      </c>
      <c r="B43" s="177" t="s">
        <v>192</v>
      </c>
      <c r="C43" s="164"/>
      <c r="D43" s="164"/>
      <c r="E43" s="101"/>
    </row>
    <row r="44" spans="1:5" s="51" customFormat="1" ht="12" customHeight="1">
      <c r="A44" s="194" t="s">
        <v>118</v>
      </c>
      <c r="B44" s="177" t="s">
        <v>193</v>
      </c>
      <c r="C44" s="164">
        <v>1498500</v>
      </c>
      <c r="D44" s="164">
        <v>1498500</v>
      </c>
      <c r="E44" s="101">
        <v>1687377</v>
      </c>
    </row>
    <row r="45" spans="1:5" s="51" customFormat="1" ht="12" customHeight="1">
      <c r="A45" s="194" t="s">
        <v>119</v>
      </c>
      <c r="B45" s="177" t="s">
        <v>194</v>
      </c>
      <c r="C45" s="164"/>
      <c r="D45" s="251"/>
      <c r="E45" s="101"/>
    </row>
    <row r="46" spans="1:5" s="51" customFormat="1" ht="12" customHeight="1">
      <c r="A46" s="194" t="s">
        <v>120</v>
      </c>
      <c r="B46" s="177" t="s">
        <v>488</v>
      </c>
      <c r="C46" s="164"/>
      <c r="D46" s="251"/>
      <c r="E46" s="101">
        <v>44</v>
      </c>
    </row>
    <row r="47" spans="1:5" s="51" customFormat="1" ht="12" customHeight="1">
      <c r="A47" s="194" t="s">
        <v>186</v>
      </c>
      <c r="B47" s="177" t="s">
        <v>196</v>
      </c>
      <c r="C47" s="167"/>
      <c r="D47" s="307"/>
      <c r="E47" s="104"/>
    </row>
    <row r="48" spans="1:5" s="51" customFormat="1" ht="12" customHeight="1">
      <c r="A48" s="195" t="s">
        <v>187</v>
      </c>
      <c r="B48" s="178" t="s">
        <v>339</v>
      </c>
      <c r="C48" s="168"/>
      <c r="D48" s="308"/>
      <c r="E48" s="105"/>
    </row>
    <row r="49" spans="1:5" s="51" customFormat="1" ht="12" customHeight="1" thickBot="1">
      <c r="A49" s="195" t="s">
        <v>338</v>
      </c>
      <c r="B49" s="178" t="s">
        <v>197</v>
      </c>
      <c r="C49" s="168"/>
      <c r="D49" s="308"/>
      <c r="E49" s="105">
        <v>341258</v>
      </c>
    </row>
    <row r="50" spans="1:5" s="51" customFormat="1" ht="12" customHeight="1" thickBot="1">
      <c r="A50" s="24" t="s">
        <v>11</v>
      </c>
      <c r="B50" s="19" t="s">
        <v>198</v>
      </c>
      <c r="C50" s="163">
        <f>SUM(C51:C55)</f>
        <v>0</v>
      </c>
      <c r="D50" s="249">
        <f>SUM(D51:D55)</f>
        <v>0</v>
      </c>
      <c r="E50" s="100">
        <f>SUM(E51:E55)</f>
        <v>236472</v>
      </c>
    </row>
    <row r="51" spans="1:5" s="51" customFormat="1" ht="12" customHeight="1">
      <c r="A51" s="193" t="s">
        <v>60</v>
      </c>
      <c r="B51" s="176" t="s">
        <v>202</v>
      </c>
      <c r="C51" s="216"/>
      <c r="D51" s="309"/>
      <c r="E51" s="106"/>
    </row>
    <row r="52" spans="1:5" s="51" customFormat="1" ht="12" customHeight="1">
      <c r="A52" s="194" t="s">
        <v>61</v>
      </c>
      <c r="B52" s="177" t="s">
        <v>203</v>
      </c>
      <c r="C52" s="167"/>
      <c r="D52" s="307"/>
      <c r="E52" s="104"/>
    </row>
    <row r="53" spans="1:5" s="51" customFormat="1" ht="12" customHeight="1">
      <c r="A53" s="194" t="s">
        <v>199</v>
      </c>
      <c r="B53" s="177" t="s">
        <v>204</v>
      </c>
      <c r="C53" s="167"/>
      <c r="D53" s="307"/>
      <c r="E53" s="104">
        <v>236472</v>
      </c>
    </row>
    <row r="54" spans="1:5" s="51" customFormat="1" ht="12" customHeight="1">
      <c r="A54" s="194" t="s">
        <v>200</v>
      </c>
      <c r="B54" s="177" t="s">
        <v>205</v>
      </c>
      <c r="C54" s="167"/>
      <c r="D54" s="307"/>
      <c r="E54" s="104"/>
    </row>
    <row r="55" spans="1:5" s="51" customFormat="1" ht="12" customHeight="1" thickBot="1">
      <c r="A55" s="195" t="s">
        <v>201</v>
      </c>
      <c r="B55" s="178" t="s">
        <v>206</v>
      </c>
      <c r="C55" s="168"/>
      <c r="D55" s="308"/>
      <c r="E55" s="105"/>
    </row>
    <row r="56" spans="1:5" s="51" customFormat="1" ht="12" customHeight="1" thickBot="1">
      <c r="A56" s="24" t="s">
        <v>121</v>
      </c>
      <c r="B56" s="19" t="s">
        <v>207</v>
      </c>
      <c r="C56" s="163">
        <f>SUM(C57:C59)</f>
        <v>400000</v>
      </c>
      <c r="D56" s="249">
        <f>SUM(D57:D59)</f>
        <v>400000</v>
      </c>
      <c r="E56" s="100">
        <f>SUM(E57:E59)</f>
        <v>257713</v>
      </c>
    </row>
    <row r="57" spans="1:5" s="51" customFormat="1" ht="12" customHeight="1">
      <c r="A57" s="193" t="s">
        <v>62</v>
      </c>
      <c r="B57" s="176" t="s">
        <v>208</v>
      </c>
      <c r="C57" s="165"/>
      <c r="D57" s="250"/>
      <c r="E57" s="102"/>
    </row>
    <row r="58" spans="1:5" s="51" customFormat="1" ht="12" customHeight="1">
      <c r="A58" s="194" t="s">
        <v>63</v>
      </c>
      <c r="B58" s="177" t="s">
        <v>332</v>
      </c>
      <c r="C58" s="164">
        <v>400000</v>
      </c>
      <c r="D58" s="251">
        <v>400000</v>
      </c>
      <c r="E58" s="101">
        <v>203000</v>
      </c>
    </row>
    <row r="59" spans="1:5" s="51" customFormat="1" ht="12" customHeight="1">
      <c r="A59" s="194" t="s">
        <v>211</v>
      </c>
      <c r="B59" s="177" t="s">
        <v>209</v>
      </c>
      <c r="C59" s="164"/>
      <c r="D59" s="251"/>
      <c r="E59" s="101">
        <v>54713</v>
      </c>
    </row>
    <row r="60" spans="1:5" s="51" customFormat="1" ht="12" customHeight="1" thickBot="1">
      <c r="A60" s="195" t="s">
        <v>212</v>
      </c>
      <c r="B60" s="178" t="s">
        <v>210</v>
      </c>
      <c r="C60" s="166"/>
      <c r="D60" s="252"/>
      <c r="E60" s="103"/>
    </row>
    <row r="61" spans="1:5" s="51" customFormat="1" ht="12" customHeight="1" thickBot="1">
      <c r="A61" s="24" t="s">
        <v>13</v>
      </c>
      <c r="B61" s="107" t="s">
        <v>213</v>
      </c>
      <c r="C61" s="163">
        <f>SUM(C62:C64)</f>
        <v>0</v>
      </c>
      <c r="D61" s="249">
        <f>SUM(D62:D64)</f>
        <v>0</v>
      </c>
      <c r="E61" s="100">
        <f>SUM(E62:E64)</f>
        <v>0</v>
      </c>
    </row>
    <row r="62" spans="1:5" s="51" customFormat="1" ht="12" customHeight="1">
      <c r="A62" s="193" t="s">
        <v>122</v>
      </c>
      <c r="B62" s="176" t="s">
        <v>215</v>
      </c>
      <c r="C62" s="167"/>
      <c r="D62" s="307"/>
      <c r="E62" s="104"/>
    </row>
    <row r="63" spans="1:5" s="51" customFormat="1" ht="12" customHeight="1">
      <c r="A63" s="194" t="s">
        <v>123</v>
      </c>
      <c r="B63" s="177" t="s">
        <v>333</v>
      </c>
      <c r="C63" s="167"/>
      <c r="D63" s="307"/>
      <c r="E63" s="104"/>
    </row>
    <row r="64" spans="1:5" s="51" customFormat="1" ht="12" customHeight="1">
      <c r="A64" s="194" t="s">
        <v>146</v>
      </c>
      <c r="B64" s="177" t="s">
        <v>216</v>
      </c>
      <c r="C64" s="167"/>
      <c r="D64" s="307"/>
      <c r="E64" s="104"/>
    </row>
    <row r="65" spans="1:5" s="51" customFormat="1" ht="12" customHeight="1" thickBot="1">
      <c r="A65" s="195" t="s">
        <v>214</v>
      </c>
      <c r="B65" s="178" t="s">
        <v>217</v>
      </c>
      <c r="C65" s="167"/>
      <c r="D65" s="307"/>
      <c r="E65" s="104"/>
    </row>
    <row r="66" spans="1:5" s="51" customFormat="1" ht="12" customHeight="1" thickBot="1">
      <c r="A66" s="24" t="s">
        <v>14</v>
      </c>
      <c r="B66" s="19" t="s">
        <v>218</v>
      </c>
      <c r="C66" s="169">
        <f>+C8+C15+C22+C29+C38+C50+C56+C61</f>
        <v>220576588</v>
      </c>
      <c r="D66" s="253">
        <f>+D8+D15+D22+D29+D38+D50+D56+D61</f>
        <v>239532019</v>
      </c>
      <c r="E66" s="205">
        <f>+E8+E15+E22+E29+E38+E50+E56+E61</f>
        <v>249414846</v>
      </c>
    </row>
    <row r="67" spans="1:5" s="51" customFormat="1" ht="12" customHeight="1" thickBot="1">
      <c r="A67" s="196" t="s">
        <v>303</v>
      </c>
      <c r="B67" s="107" t="s">
        <v>220</v>
      </c>
      <c r="C67" s="163">
        <f>SUM(C68:C70)</f>
        <v>0</v>
      </c>
      <c r="D67" s="249">
        <f>SUM(D68:D70)</f>
        <v>0</v>
      </c>
      <c r="E67" s="100">
        <f>SUM(E68:E70)</f>
        <v>0</v>
      </c>
    </row>
    <row r="68" spans="1:5" s="51" customFormat="1" ht="12" customHeight="1">
      <c r="A68" s="193" t="s">
        <v>248</v>
      </c>
      <c r="B68" s="176" t="s">
        <v>221</v>
      </c>
      <c r="C68" s="167"/>
      <c r="D68" s="307"/>
      <c r="E68" s="104"/>
    </row>
    <row r="69" spans="1:5" s="51" customFormat="1" ht="12" customHeight="1">
      <c r="A69" s="194" t="s">
        <v>257</v>
      </c>
      <c r="B69" s="177" t="s">
        <v>222</v>
      </c>
      <c r="C69" s="167"/>
      <c r="D69" s="307"/>
      <c r="E69" s="104"/>
    </row>
    <row r="70" spans="1:5" s="51" customFormat="1" ht="12" customHeight="1" thickBot="1">
      <c r="A70" s="203" t="s">
        <v>258</v>
      </c>
      <c r="B70" s="342" t="s">
        <v>223</v>
      </c>
      <c r="C70" s="343"/>
      <c r="D70" s="310"/>
      <c r="E70" s="344"/>
    </row>
    <row r="71" spans="1:5" s="51" customFormat="1" ht="12" customHeight="1" thickBot="1">
      <c r="A71" s="196" t="s">
        <v>224</v>
      </c>
      <c r="B71" s="107" t="s">
        <v>225</v>
      </c>
      <c r="C71" s="163">
        <f>SUM(C72:C75)</f>
        <v>0</v>
      </c>
      <c r="D71" s="163">
        <f>SUM(D72:D75)</f>
        <v>0</v>
      </c>
      <c r="E71" s="100">
        <f>SUM(E72:E75)</f>
        <v>0</v>
      </c>
    </row>
    <row r="72" spans="1:5" s="51" customFormat="1" ht="12" customHeight="1">
      <c r="A72" s="193" t="s">
        <v>100</v>
      </c>
      <c r="B72" s="325" t="s">
        <v>226</v>
      </c>
      <c r="C72" s="167"/>
      <c r="D72" s="167"/>
      <c r="E72" s="104"/>
    </row>
    <row r="73" spans="1:5" s="51" customFormat="1" ht="12" customHeight="1">
      <c r="A73" s="194" t="s">
        <v>101</v>
      </c>
      <c r="B73" s="325" t="s">
        <v>495</v>
      </c>
      <c r="C73" s="167"/>
      <c r="D73" s="167"/>
      <c r="E73" s="104"/>
    </row>
    <row r="74" spans="1:5" s="51" customFormat="1" ht="12" customHeight="1">
      <c r="A74" s="194" t="s">
        <v>249</v>
      </c>
      <c r="B74" s="325" t="s">
        <v>227</v>
      </c>
      <c r="C74" s="167"/>
      <c r="D74" s="167"/>
      <c r="E74" s="104"/>
    </row>
    <row r="75" spans="1:5" s="51" customFormat="1" ht="12" customHeight="1" thickBot="1">
      <c r="A75" s="195" t="s">
        <v>250</v>
      </c>
      <c r="B75" s="326" t="s">
        <v>496</v>
      </c>
      <c r="C75" s="167"/>
      <c r="D75" s="167"/>
      <c r="E75" s="104"/>
    </row>
    <row r="76" spans="1:5" s="51" customFormat="1" ht="12" customHeight="1" thickBot="1">
      <c r="A76" s="196" t="s">
        <v>228</v>
      </c>
      <c r="B76" s="107" t="s">
        <v>229</v>
      </c>
      <c r="C76" s="163">
        <f>SUM(C77:C78)</f>
        <v>358699619</v>
      </c>
      <c r="D76" s="163">
        <f>SUM(D77:D78)</f>
        <v>358699619</v>
      </c>
      <c r="E76" s="100">
        <f>SUM(E77:E78)</f>
        <v>358699619</v>
      </c>
    </row>
    <row r="77" spans="1:5" s="51" customFormat="1" ht="12" customHeight="1">
      <c r="A77" s="193" t="s">
        <v>251</v>
      </c>
      <c r="B77" s="176" t="s">
        <v>230</v>
      </c>
      <c r="C77" s="167">
        <v>358699619</v>
      </c>
      <c r="D77" s="167">
        <v>358699619</v>
      </c>
      <c r="E77" s="167">
        <v>358699619</v>
      </c>
    </row>
    <row r="78" spans="1:5" s="51" customFormat="1" ht="12" customHeight="1" thickBot="1">
      <c r="A78" s="195" t="s">
        <v>252</v>
      </c>
      <c r="B78" s="178" t="s">
        <v>231</v>
      </c>
      <c r="C78" s="167"/>
      <c r="D78" s="167"/>
      <c r="E78" s="104"/>
    </row>
    <row r="79" spans="1:5" s="50" customFormat="1" ht="12" customHeight="1" thickBot="1">
      <c r="A79" s="196" t="s">
        <v>232</v>
      </c>
      <c r="B79" s="107" t="s">
        <v>233</v>
      </c>
      <c r="C79" s="163">
        <f>SUM(C80:C82)</f>
        <v>0</v>
      </c>
      <c r="D79" s="163">
        <f>SUM(D80:D82)</f>
        <v>7151762</v>
      </c>
      <c r="E79" s="100">
        <f>SUM(E80:E82)</f>
        <v>7151762</v>
      </c>
    </row>
    <row r="80" spans="1:5" s="51" customFormat="1" ht="12" customHeight="1">
      <c r="A80" s="193" t="s">
        <v>253</v>
      </c>
      <c r="B80" s="176" t="s">
        <v>234</v>
      </c>
      <c r="C80" s="167"/>
      <c r="D80" s="167">
        <v>7151762</v>
      </c>
      <c r="E80" s="104">
        <v>7151762</v>
      </c>
    </row>
    <row r="81" spans="1:5" s="51" customFormat="1" ht="12" customHeight="1">
      <c r="A81" s="194" t="s">
        <v>254</v>
      </c>
      <c r="B81" s="177" t="s">
        <v>235</v>
      </c>
      <c r="C81" s="167"/>
      <c r="D81" s="167"/>
      <c r="E81" s="104"/>
    </row>
    <row r="82" spans="1:5" s="51" customFormat="1" ht="12" customHeight="1" thickBot="1">
      <c r="A82" s="195" t="s">
        <v>255</v>
      </c>
      <c r="B82" s="178" t="s">
        <v>497</v>
      </c>
      <c r="C82" s="167"/>
      <c r="D82" s="167"/>
      <c r="E82" s="104"/>
    </row>
    <row r="83" spans="1:5" s="51" customFormat="1" ht="12" customHeight="1" thickBot="1">
      <c r="A83" s="196" t="s">
        <v>236</v>
      </c>
      <c r="B83" s="107" t="s">
        <v>256</v>
      </c>
      <c r="C83" s="163">
        <f>SUM(C84:C87)</f>
        <v>0</v>
      </c>
      <c r="D83" s="163">
        <f>SUM(D84:D87)</f>
        <v>0</v>
      </c>
      <c r="E83" s="100">
        <f>SUM(E84:E87)</f>
        <v>0</v>
      </c>
    </row>
    <row r="84" spans="1:5" s="51" customFormat="1" ht="12" customHeight="1">
      <c r="A84" s="197" t="s">
        <v>237</v>
      </c>
      <c r="B84" s="176" t="s">
        <v>238</v>
      </c>
      <c r="C84" s="167"/>
      <c r="D84" s="167"/>
      <c r="E84" s="104"/>
    </row>
    <row r="85" spans="1:5" s="51" customFormat="1" ht="12" customHeight="1">
      <c r="A85" s="198" t="s">
        <v>239</v>
      </c>
      <c r="B85" s="177" t="s">
        <v>240</v>
      </c>
      <c r="C85" s="167"/>
      <c r="D85" s="167"/>
      <c r="E85" s="104"/>
    </row>
    <row r="86" spans="1:5" s="51" customFormat="1" ht="12" customHeight="1">
      <c r="A86" s="198" t="s">
        <v>241</v>
      </c>
      <c r="B86" s="177" t="s">
        <v>242</v>
      </c>
      <c r="C86" s="167"/>
      <c r="D86" s="167"/>
      <c r="E86" s="104"/>
    </row>
    <row r="87" spans="1:5" s="50" customFormat="1" ht="12" customHeight="1" thickBot="1">
      <c r="A87" s="199" t="s">
        <v>243</v>
      </c>
      <c r="B87" s="178" t="s">
        <v>244</v>
      </c>
      <c r="C87" s="167"/>
      <c r="D87" s="167"/>
      <c r="E87" s="104"/>
    </row>
    <row r="88" spans="1:5" s="50" customFormat="1" ht="12" customHeight="1" thickBot="1">
      <c r="A88" s="196" t="s">
        <v>245</v>
      </c>
      <c r="B88" s="107" t="s">
        <v>378</v>
      </c>
      <c r="C88" s="219"/>
      <c r="D88" s="219"/>
      <c r="E88" s="220"/>
    </row>
    <row r="89" spans="1:5" s="50" customFormat="1" ht="12" customHeight="1" thickBot="1">
      <c r="A89" s="196" t="s">
        <v>396</v>
      </c>
      <c r="B89" s="107" t="s">
        <v>246</v>
      </c>
      <c r="C89" s="219"/>
      <c r="D89" s="219"/>
      <c r="E89" s="220"/>
    </row>
    <row r="90" spans="1:5" s="50" customFormat="1" ht="12" customHeight="1" thickBot="1">
      <c r="A90" s="196" t="s">
        <v>397</v>
      </c>
      <c r="B90" s="183" t="s">
        <v>381</v>
      </c>
      <c r="C90" s="169">
        <f>+C67+C71+C76+C79+C83+C89+C88</f>
        <v>358699619</v>
      </c>
      <c r="D90" s="169">
        <f>+D67+D71+D76+D79+D83+D89+D88</f>
        <v>365851381</v>
      </c>
      <c r="E90" s="205">
        <f>+E67+E71+E76+E79+E83+E89+E88</f>
        <v>365851381</v>
      </c>
    </row>
    <row r="91" spans="1:5" s="50" customFormat="1" ht="12" customHeight="1" thickBot="1">
      <c r="A91" s="200" t="s">
        <v>398</v>
      </c>
      <c r="B91" s="184" t="s">
        <v>399</v>
      </c>
      <c r="C91" s="169">
        <f>+C66+C90</f>
        <v>579276207</v>
      </c>
      <c r="D91" s="169">
        <f>+D66+D90</f>
        <v>605383400</v>
      </c>
      <c r="E91" s="205">
        <f>+E66+E90</f>
        <v>615266227</v>
      </c>
    </row>
    <row r="92" spans="1:3" s="51" customFormat="1" ht="15" customHeight="1" thickBot="1">
      <c r="A92" s="84"/>
      <c r="B92" s="85"/>
      <c r="C92" s="145"/>
    </row>
    <row r="93" spans="1:5" s="44" customFormat="1" ht="16.5" customHeight="1" thickBot="1">
      <c r="A93" s="872" t="s">
        <v>41</v>
      </c>
      <c r="B93" s="873"/>
      <c r="C93" s="873"/>
      <c r="D93" s="873"/>
      <c r="E93" s="874"/>
    </row>
    <row r="94" spans="1:5" s="52" customFormat="1" ht="12" customHeight="1" thickBot="1">
      <c r="A94" s="170" t="s">
        <v>6</v>
      </c>
      <c r="B94" s="23" t="s">
        <v>403</v>
      </c>
      <c r="C94" s="162">
        <f>+C95+C96+C97+C98+C99+C112</f>
        <v>295957807</v>
      </c>
      <c r="D94" s="162">
        <f>+D95+D96+D97+D98+D99+D112</f>
        <v>538747000</v>
      </c>
      <c r="E94" s="232">
        <f>+E95+E96+E97+E98+E99+E112</f>
        <v>192486280</v>
      </c>
    </row>
    <row r="95" spans="1:5" ht="12" customHeight="1">
      <c r="A95" s="201" t="s">
        <v>64</v>
      </c>
      <c r="B95" s="8" t="s">
        <v>35</v>
      </c>
      <c r="C95" s="239">
        <v>34830000</v>
      </c>
      <c r="D95" s="239">
        <v>37876000</v>
      </c>
      <c r="E95" s="233">
        <v>37701827</v>
      </c>
    </row>
    <row r="96" spans="1:5" ht="12" customHeight="1">
      <c r="A96" s="194" t="s">
        <v>65</v>
      </c>
      <c r="B96" s="6" t="s">
        <v>124</v>
      </c>
      <c r="C96" s="164">
        <v>5550000</v>
      </c>
      <c r="D96" s="164">
        <v>5940000</v>
      </c>
      <c r="E96" s="101">
        <v>5687080</v>
      </c>
    </row>
    <row r="97" spans="1:5" ht="12" customHeight="1">
      <c r="A97" s="194" t="s">
        <v>66</v>
      </c>
      <c r="B97" s="6" t="s">
        <v>92</v>
      </c>
      <c r="C97" s="166">
        <v>35600000</v>
      </c>
      <c r="D97" s="164">
        <v>39737000</v>
      </c>
      <c r="E97" s="103">
        <v>37395146</v>
      </c>
    </row>
    <row r="98" spans="1:5" ht="12" customHeight="1">
      <c r="A98" s="194" t="s">
        <v>67</v>
      </c>
      <c r="B98" s="9" t="s">
        <v>125</v>
      </c>
      <c r="C98" s="166">
        <v>3450000</v>
      </c>
      <c r="D98" s="252">
        <v>3450000</v>
      </c>
      <c r="E98" s="103">
        <v>2908500</v>
      </c>
    </row>
    <row r="99" spans="1:5" ht="12" customHeight="1">
      <c r="A99" s="194" t="s">
        <v>76</v>
      </c>
      <c r="B99" s="17" t="s">
        <v>126</v>
      </c>
      <c r="C99" s="166">
        <f>111841846-1630000</f>
        <v>110211846</v>
      </c>
      <c r="D99" s="252">
        <f>111005000-1680000</f>
        <v>109325000</v>
      </c>
      <c r="E99" s="103">
        <f>110463727-1670000</f>
        <v>108793727</v>
      </c>
    </row>
    <row r="100" spans="1:5" ht="12" customHeight="1">
      <c r="A100" s="194" t="s">
        <v>68</v>
      </c>
      <c r="B100" s="6" t="s">
        <v>400</v>
      </c>
      <c r="C100" s="166"/>
      <c r="D100" s="252"/>
      <c r="E100" s="103"/>
    </row>
    <row r="101" spans="1:5" ht="12" customHeight="1">
      <c r="A101" s="194" t="s">
        <v>69</v>
      </c>
      <c r="B101" s="60" t="s">
        <v>344</v>
      </c>
      <c r="C101" s="166"/>
      <c r="D101" s="252"/>
      <c r="E101" s="103"/>
    </row>
    <row r="102" spans="1:5" ht="12" customHeight="1">
      <c r="A102" s="194" t="s">
        <v>77</v>
      </c>
      <c r="B102" s="60" t="s">
        <v>343</v>
      </c>
      <c r="C102" s="166"/>
      <c r="D102" s="252"/>
      <c r="E102" s="103"/>
    </row>
    <row r="103" spans="1:5" ht="12" customHeight="1">
      <c r="A103" s="194" t="s">
        <v>78</v>
      </c>
      <c r="B103" s="60" t="s">
        <v>262</v>
      </c>
      <c r="C103" s="166"/>
      <c r="D103" s="252"/>
      <c r="E103" s="103"/>
    </row>
    <row r="104" spans="1:5" ht="12" customHeight="1">
      <c r="A104" s="194" t="s">
        <v>79</v>
      </c>
      <c r="B104" s="61" t="s">
        <v>263</v>
      </c>
      <c r="C104" s="166"/>
      <c r="D104" s="252"/>
      <c r="E104" s="103"/>
    </row>
    <row r="105" spans="1:5" ht="12" customHeight="1">
      <c r="A105" s="194" t="s">
        <v>80</v>
      </c>
      <c r="B105" s="61" t="s">
        <v>264</v>
      </c>
      <c r="C105" s="166"/>
      <c r="D105" s="252"/>
      <c r="E105" s="103"/>
    </row>
    <row r="106" spans="1:5" ht="12" customHeight="1">
      <c r="A106" s="194" t="s">
        <v>82</v>
      </c>
      <c r="B106" s="60" t="s">
        <v>265</v>
      </c>
      <c r="C106" s="166">
        <v>109221846</v>
      </c>
      <c r="D106" s="252">
        <v>108685000</v>
      </c>
      <c r="E106" s="103">
        <v>108154226</v>
      </c>
    </row>
    <row r="107" spans="1:5" ht="12" customHeight="1">
      <c r="A107" s="194" t="s">
        <v>127</v>
      </c>
      <c r="B107" s="60" t="s">
        <v>266</v>
      </c>
      <c r="C107" s="166"/>
      <c r="D107" s="252"/>
      <c r="E107" s="103"/>
    </row>
    <row r="108" spans="1:5" ht="12" customHeight="1">
      <c r="A108" s="194" t="s">
        <v>260</v>
      </c>
      <c r="B108" s="61" t="s">
        <v>267</v>
      </c>
      <c r="C108" s="164">
        <v>400000</v>
      </c>
      <c r="D108" s="252">
        <v>50000</v>
      </c>
      <c r="E108" s="103">
        <v>50000</v>
      </c>
    </row>
    <row r="109" spans="1:5" ht="12" customHeight="1">
      <c r="A109" s="202" t="s">
        <v>261</v>
      </c>
      <c r="B109" s="62" t="s">
        <v>268</v>
      </c>
      <c r="C109" s="166"/>
      <c r="D109" s="252"/>
      <c r="E109" s="103"/>
    </row>
    <row r="110" spans="1:5" ht="12" customHeight="1">
      <c r="A110" s="194" t="s">
        <v>341</v>
      </c>
      <c r="B110" s="62" t="s">
        <v>269</v>
      </c>
      <c r="C110" s="166"/>
      <c r="D110" s="252"/>
      <c r="E110" s="103"/>
    </row>
    <row r="111" spans="1:6" ht="12" customHeight="1">
      <c r="A111" s="194" t="s">
        <v>342</v>
      </c>
      <c r="B111" s="61" t="s">
        <v>270</v>
      </c>
      <c r="C111" s="164">
        <f>2220000-1630000</f>
        <v>590000</v>
      </c>
      <c r="D111" s="251">
        <f>2270000-1680000</f>
        <v>590000</v>
      </c>
      <c r="E111" s="101">
        <f>2259501-1670000</f>
        <v>589501</v>
      </c>
      <c r="F111" s="26"/>
    </row>
    <row r="112" spans="1:5" ht="12" customHeight="1">
      <c r="A112" s="194" t="s">
        <v>346</v>
      </c>
      <c r="B112" s="9" t="s">
        <v>36</v>
      </c>
      <c r="C112" s="164">
        <v>106315961</v>
      </c>
      <c r="D112" s="251">
        <v>342419000</v>
      </c>
      <c r="E112" s="101"/>
    </row>
    <row r="113" spans="1:5" ht="12" customHeight="1">
      <c r="A113" s="195" t="s">
        <v>347</v>
      </c>
      <c r="B113" s="6" t="s">
        <v>401</v>
      </c>
      <c r="C113" s="166">
        <v>106315961</v>
      </c>
      <c r="D113" s="252">
        <v>342419000</v>
      </c>
      <c r="E113" s="103"/>
    </row>
    <row r="114" spans="1:5" ht="12" customHeight="1" thickBot="1">
      <c r="A114" s="203" t="s">
        <v>348</v>
      </c>
      <c r="B114" s="63" t="s">
        <v>402</v>
      </c>
      <c r="C114" s="240"/>
      <c r="D114" s="313"/>
      <c r="E114" s="234"/>
    </row>
    <row r="115" spans="1:5" ht="12" customHeight="1" thickBot="1">
      <c r="A115" s="24" t="s">
        <v>7</v>
      </c>
      <c r="B115" s="22" t="s">
        <v>271</v>
      </c>
      <c r="C115" s="163">
        <f>+C116+C118+C120</f>
        <v>226110000</v>
      </c>
      <c r="D115" s="249">
        <f>+D116+D118+D120</f>
        <v>7582000</v>
      </c>
      <c r="E115" s="100">
        <f>+E116+E118+E120</f>
        <v>7031939</v>
      </c>
    </row>
    <row r="116" spans="1:5" ht="12" customHeight="1">
      <c r="A116" s="193" t="s">
        <v>70</v>
      </c>
      <c r="B116" s="6" t="s">
        <v>145</v>
      </c>
      <c r="C116" s="165">
        <v>219160000</v>
      </c>
      <c r="D116" s="250">
        <v>1232000</v>
      </c>
      <c r="E116" s="102">
        <v>1093896</v>
      </c>
    </row>
    <row r="117" spans="1:5" ht="12" customHeight="1">
      <c r="A117" s="193" t="s">
        <v>71</v>
      </c>
      <c r="B117" s="10" t="s">
        <v>275</v>
      </c>
      <c r="C117" s="165"/>
      <c r="D117" s="250"/>
      <c r="E117" s="102"/>
    </row>
    <row r="118" spans="1:5" ht="12" customHeight="1">
      <c r="A118" s="193" t="s">
        <v>72</v>
      </c>
      <c r="B118" s="10" t="s">
        <v>128</v>
      </c>
      <c r="C118" s="164">
        <v>6350000</v>
      </c>
      <c r="D118" s="251">
        <v>5750000</v>
      </c>
      <c r="E118" s="101">
        <v>5638043</v>
      </c>
    </row>
    <row r="119" spans="1:5" ht="12" customHeight="1">
      <c r="A119" s="193" t="s">
        <v>73</v>
      </c>
      <c r="B119" s="10" t="s">
        <v>276</v>
      </c>
      <c r="C119" s="164"/>
      <c r="D119" s="251"/>
      <c r="E119" s="101"/>
    </row>
    <row r="120" spans="1:5" ht="12" customHeight="1">
      <c r="A120" s="193" t="s">
        <v>74</v>
      </c>
      <c r="B120" s="109" t="s">
        <v>147</v>
      </c>
      <c r="C120" s="164">
        <v>600000</v>
      </c>
      <c r="D120" s="251">
        <v>600000</v>
      </c>
      <c r="E120" s="101">
        <v>300000</v>
      </c>
    </row>
    <row r="121" spans="1:5" ht="12" customHeight="1">
      <c r="A121" s="193" t="s">
        <v>81</v>
      </c>
      <c r="B121" s="108" t="s">
        <v>334</v>
      </c>
      <c r="C121" s="164"/>
      <c r="D121" s="251"/>
      <c r="E121" s="101"/>
    </row>
    <row r="122" spans="1:5" ht="12" customHeight="1">
      <c r="A122" s="193" t="s">
        <v>83</v>
      </c>
      <c r="B122" s="172" t="s">
        <v>281</v>
      </c>
      <c r="C122" s="164"/>
      <c r="D122" s="251"/>
      <c r="E122" s="101"/>
    </row>
    <row r="123" spans="1:5" ht="12" customHeight="1">
      <c r="A123" s="193" t="s">
        <v>129</v>
      </c>
      <c r="B123" s="61" t="s">
        <v>264</v>
      </c>
      <c r="C123" s="164"/>
      <c r="D123" s="251"/>
      <c r="E123" s="101"/>
    </row>
    <row r="124" spans="1:5" ht="12" customHeight="1">
      <c r="A124" s="193" t="s">
        <v>130</v>
      </c>
      <c r="B124" s="61" t="s">
        <v>280</v>
      </c>
      <c r="C124" s="164"/>
      <c r="D124" s="251"/>
      <c r="E124" s="101"/>
    </row>
    <row r="125" spans="1:5" ht="12" customHeight="1">
      <c r="A125" s="193" t="s">
        <v>131</v>
      </c>
      <c r="B125" s="61" t="s">
        <v>279</v>
      </c>
      <c r="C125" s="164"/>
      <c r="D125" s="251"/>
      <c r="E125" s="101"/>
    </row>
    <row r="126" spans="1:5" ht="12" customHeight="1">
      <c r="A126" s="193" t="s">
        <v>272</v>
      </c>
      <c r="B126" s="61" t="s">
        <v>267</v>
      </c>
      <c r="C126" s="164"/>
      <c r="D126" s="251"/>
      <c r="E126" s="101"/>
    </row>
    <row r="127" spans="1:5" ht="12" customHeight="1">
      <c r="A127" s="193" t="s">
        <v>273</v>
      </c>
      <c r="B127" s="61" t="s">
        <v>278</v>
      </c>
      <c r="C127" s="164">
        <v>600000</v>
      </c>
      <c r="D127" s="251">
        <v>600000</v>
      </c>
      <c r="E127" s="101">
        <v>300000</v>
      </c>
    </row>
    <row r="128" spans="1:5" ht="12" customHeight="1" thickBot="1">
      <c r="A128" s="202" t="s">
        <v>274</v>
      </c>
      <c r="B128" s="61" t="s">
        <v>277</v>
      </c>
      <c r="C128" s="166"/>
      <c r="D128" s="252"/>
      <c r="E128" s="103"/>
    </row>
    <row r="129" spans="1:5" ht="12" customHeight="1" thickBot="1">
      <c r="A129" s="24" t="s">
        <v>8</v>
      </c>
      <c r="B129" s="56" t="s">
        <v>351</v>
      </c>
      <c r="C129" s="163">
        <f>+C94+C115</f>
        <v>522067807</v>
      </c>
      <c r="D129" s="249">
        <f>+D94+D115</f>
        <v>546329000</v>
      </c>
      <c r="E129" s="100">
        <f>+E94+E115</f>
        <v>199518219</v>
      </c>
    </row>
    <row r="130" spans="1:5" ht="12" customHeight="1" thickBot="1">
      <c r="A130" s="24" t="s">
        <v>9</v>
      </c>
      <c r="B130" s="56" t="s">
        <v>352</v>
      </c>
      <c r="C130" s="163">
        <f>+C131+C132+C133</f>
        <v>0</v>
      </c>
      <c r="D130" s="249">
        <f>+D131+D132+D133</f>
        <v>0</v>
      </c>
      <c r="E130" s="100">
        <f>+E131+E132+E133</f>
        <v>0</v>
      </c>
    </row>
    <row r="131" spans="1:5" s="52" customFormat="1" ht="12" customHeight="1">
      <c r="A131" s="193" t="s">
        <v>179</v>
      </c>
      <c r="B131" s="7" t="s">
        <v>406</v>
      </c>
      <c r="C131" s="164"/>
      <c r="D131" s="251"/>
      <c r="E131" s="101"/>
    </row>
    <row r="132" spans="1:5" ht="12" customHeight="1">
      <c r="A132" s="193" t="s">
        <v>180</v>
      </c>
      <c r="B132" s="7" t="s">
        <v>360</v>
      </c>
      <c r="C132" s="164"/>
      <c r="D132" s="251"/>
      <c r="E132" s="101"/>
    </row>
    <row r="133" spans="1:5" ht="12" customHeight="1" thickBot="1">
      <c r="A133" s="202" t="s">
        <v>181</v>
      </c>
      <c r="B133" s="5" t="s">
        <v>405</v>
      </c>
      <c r="C133" s="164"/>
      <c r="D133" s="251"/>
      <c r="E133" s="101"/>
    </row>
    <row r="134" spans="1:5" ht="12" customHeight="1" thickBot="1">
      <c r="A134" s="24" t="s">
        <v>10</v>
      </c>
      <c r="B134" s="56" t="s">
        <v>353</v>
      </c>
      <c r="C134" s="163">
        <f>+C135+C136+C137+C138+C139+C140</f>
        <v>0</v>
      </c>
      <c r="D134" s="249">
        <f>+D135+D136+D137+D138+D139+D140</f>
        <v>0</v>
      </c>
      <c r="E134" s="100">
        <f>+E135+E136+E137+E138+E139+E140</f>
        <v>0</v>
      </c>
    </row>
    <row r="135" spans="1:5" ht="12" customHeight="1">
      <c r="A135" s="193" t="s">
        <v>57</v>
      </c>
      <c r="B135" s="7" t="s">
        <v>362</v>
      </c>
      <c r="C135" s="164"/>
      <c r="D135" s="251"/>
      <c r="E135" s="101"/>
    </row>
    <row r="136" spans="1:5" ht="12" customHeight="1">
      <c r="A136" s="193" t="s">
        <v>58</v>
      </c>
      <c r="B136" s="7" t="s">
        <v>354</v>
      </c>
      <c r="C136" s="164"/>
      <c r="D136" s="251"/>
      <c r="E136" s="101"/>
    </row>
    <row r="137" spans="1:5" ht="12" customHeight="1">
      <c r="A137" s="193" t="s">
        <v>59</v>
      </c>
      <c r="B137" s="7" t="s">
        <v>355</v>
      </c>
      <c r="C137" s="164"/>
      <c r="D137" s="251"/>
      <c r="E137" s="101"/>
    </row>
    <row r="138" spans="1:5" ht="12" customHeight="1">
      <c r="A138" s="193" t="s">
        <v>116</v>
      </c>
      <c r="B138" s="7" t="s">
        <v>404</v>
      </c>
      <c r="C138" s="164"/>
      <c r="D138" s="251"/>
      <c r="E138" s="101"/>
    </row>
    <row r="139" spans="1:5" ht="12" customHeight="1">
      <c r="A139" s="193" t="s">
        <v>117</v>
      </c>
      <c r="B139" s="7" t="s">
        <v>357</v>
      </c>
      <c r="C139" s="164"/>
      <c r="D139" s="251"/>
      <c r="E139" s="101"/>
    </row>
    <row r="140" spans="1:5" s="52" customFormat="1" ht="12" customHeight="1" thickBot="1">
      <c r="A140" s="202" t="s">
        <v>118</v>
      </c>
      <c r="B140" s="5" t="s">
        <v>358</v>
      </c>
      <c r="C140" s="164"/>
      <c r="D140" s="251"/>
      <c r="E140" s="101"/>
    </row>
    <row r="141" spans="1:11" ht="12" customHeight="1" thickBot="1">
      <c r="A141" s="24" t="s">
        <v>11</v>
      </c>
      <c r="B141" s="56" t="s">
        <v>415</v>
      </c>
      <c r="C141" s="169">
        <f>+C142+C143+C145+C146+C144</f>
        <v>55578400</v>
      </c>
      <c r="D141" s="253">
        <f>+D142+D143+D145+D146+D144</f>
        <v>57374400</v>
      </c>
      <c r="E141" s="205">
        <f>+E142+E143+E145+E146+E144</f>
        <v>57373925</v>
      </c>
      <c r="K141" s="93"/>
    </row>
    <row r="142" spans="1:5" ht="12.75">
      <c r="A142" s="193" t="s">
        <v>60</v>
      </c>
      <c r="B142" s="7" t="s">
        <v>282</v>
      </c>
      <c r="C142" s="164"/>
      <c r="D142" s="251"/>
      <c r="E142" s="101"/>
    </row>
    <row r="143" spans="1:5" ht="12" customHeight="1">
      <c r="A143" s="193" t="s">
        <v>61</v>
      </c>
      <c r="B143" s="7" t="s">
        <v>283</v>
      </c>
      <c r="C143" s="164">
        <v>6289400</v>
      </c>
      <c r="D143" s="251">
        <v>6289400</v>
      </c>
      <c r="E143" s="101">
        <v>6289400</v>
      </c>
    </row>
    <row r="144" spans="1:5" ht="12" customHeight="1">
      <c r="A144" s="193" t="s">
        <v>199</v>
      </c>
      <c r="B144" s="7" t="s">
        <v>414</v>
      </c>
      <c r="C144" s="164">
        <v>49289000</v>
      </c>
      <c r="D144" s="251">
        <v>51085000</v>
      </c>
      <c r="E144" s="101">
        <v>51084525</v>
      </c>
    </row>
    <row r="145" spans="1:5" s="52" customFormat="1" ht="12" customHeight="1">
      <c r="A145" s="193" t="s">
        <v>200</v>
      </c>
      <c r="B145" s="7" t="s">
        <v>367</v>
      </c>
      <c r="C145" s="164"/>
      <c r="D145" s="251"/>
      <c r="E145" s="101"/>
    </row>
    <row r="146" spans="1:5" s="52" customFormat="1" ht="12" customHeight="1" thickBot="1">
      <c r="A146" s="202" t="s">
        <v>201</v>
      </c>
      <c r="B146" s="5" t="s">
        <v>299</v>
      </c>
      <c r="C146" s="164"/>
      <c r="D146" s="251"/>
      <c r="E146" s="101"/>
    </row>
    <row r="147" spans="1:5" s="52" customFormat="1" ht="12" customHeight="1" thickBot="1">
      <c r="A147" s="24" t="s">
        <v>12</v>
      </c>
      <c r="B147" s="56" t="s">
        <v>368</v>
      </c>
      <c r="C147" s="242">
        <f>+C148+C149+C150+C151+C152</f>
        <v>0</v>
      </c>
      <c r="D147" s="254">
        <f>+D148+D149+D150+D151+D152</f>
        <v>0</v>
      </c>
      <c r="E147" s="236">
        <f>+E148+E149+E150+E151+E152</f>
        <v>0</v>
      </c>
    </row>
    <row r="148" spans="1:5" s="52" customFormat="1" ht="12" customHeight="1">
      <c r="A148" s="193" t="s">
        <v>62</v>
      </c>
      <c r="B148" s="7" t="s">
        <v>363</v>
      </c>
      <c r="C148" s="164"/>
      <c r="D148" s="251"/>
      <c r="E148" s="101"/>
    </row>
    <row r="149" spans="1:5" s="52" customFormat="1" ht="12" customHeight="1">
      <c r="A149" s="193" t="s">
        <v>63</v>
      </c>
      <c r="B149" s="7" t="s">
        <v>370</v>
      </c>
      <c r="C149" s="164"/>
      <c r="D149" s="251"/>
      <c r="E149" s="101"/>
    </row>
    <row r="150" spans="1:5" s="52" customFormat="1" ht="12" customHeight="1">
      <c r="A150" s="193" t="s">
        <v>211</v>
      </c>
      <c r="B150" s="7" t="s">
        <v>365</v>
      </c>
      <c r="C150" s="164"/>
      <c r="D150" s="251"/>
      <c r="E150" s="101"/>
    </row>
    <row r="151" spans="1:5" s="52" customFormat="1" ht="12" customHeight="1">
      <c r="A151" s="193" t="s">
        <v>212</v>
      </c>
      <c r="B151" s="7" t="s">
        <v>407</v>
      </c>
      <c r="C151" s="164"/>
      <c r="D151" s="251"/>
      <c r="E151" s="101"/>
    </row>
    <row r="152" spans="1:5" ht="12.75" customHeight="1" thickBot="1">
      <c r="A152" s="202" t="s">
        <v>369</v>
      </c>
      <c r="B152" s="5" t="s">
        <v>372</v>
      </c>
      <c r="C152" s="166"/>
      <c r="D152" s="252"/>
      <c r="E152" s="103"/>
    </row>
    <row r="153" spans="1:5" ht="12.75" customHeight="1" thickBot="1">
      <c r="A153" s="231" t="s">
        <v>13</v>
      </c>
      <c r="B153" s="56" t="s">
        <v>373</v>
      </c>
      <c r="C153" s="242"/>
      <c r="D153" s="254"/>
      <c r="E153" s="236"/>
    </row>
    <row r="154" spans="1:5" ht="12.75" customHeight="1" thickBot="1">
      <c r="A154" s="231" t="s">
        <v>14</v>
      </c>
      <c r="B154" s="56" t="s">
        <v>374</v>
      </c>
      <c r="C154" s="242"/>
      <c r="D154" s="254"/>
      <c r="E154" s="236"/>
    </row>
    <row r="155" spans="1:5" ht="12" customHeight="1" thickBot="1">
      <c r="A155" s="24" t="s">
        <v>15</v>
      </c>
      <c r="B155" s="56" t="s">
        <v>376</v>
      </c>
      <c r="C155" s="244">
        <f>+C130+C134+C141+C147+C153+C154</f>
        <v>55578400</v>
      </c>
      <c r="D155" s="256">
        <f>+D130+D134+D141+D147+D153+D154</f>
        <v>57374400</v>
      </c>
      <c r="E155" s="238">
        <f>+E130+E134+E141+E147+E153+E154</f>
        <v>57373925</v>
      </c>
    </row>
    <row r="156" spans="1:5" ht="15" customHeight="1" thickBot="1">
      <c r="A156" s="204" t="s">
        <v>16</v>
      </c>
      <c r="B156" s="150" t="s">
        <v>375</v>
      </c>
      <c r="C156" s="244">
        <f>+C129+C155</f>
        <v>577646207</v>
      </c>
      <c r="D156" s="256">
        <f>+D129+D155</f>
        <v>603703400</v>
      </c>
      <c r="E156" s="238">
        <f>+E129+E155</f>
        <v>256892144</v>
      </c>
    </row>
    <row r="157" spans="1:5" ht="13.5" thickBot="1">
      <c r="A157" s="153"/>
      <c r="B157" s="154"/>
      <c r="C157" s="666"/>
      <c r="D157" s="666"/>
      <c r="E157" s="155"/>
    </row>
    <row r="158" spans="1:5" ht="15" customHeight="1" thickBot="1">
      <c r="A158" s="319" t="s">
        <v>490</v>
      </c>
      <c r="B158" s="320"/>
      <c r="C158" s="312">
        <v>13</v>
      </c>
      <c r="D158" s="312">
        <v>13</v>
      </c>
      <c r="E158" s="311">
        <v>13</v>
      </c>
    </row>
    <row r="159" spans="1:5" ht="14.25" customHeight="1" thickBot="1">
      <c r="A159" s="321" t="s">
        <v>491</v>
      </c>
      <c r="B159" s="322"/>
      <c r="C159" s="312">
        <v>12</v>
      </c>
      <c r="D159" s="312">
        <v>12</v>
      </c>
      <c r="E159" s="311">
        <v>11</v>
      </c>
    </row>
  </sheetData>
  <sheetProtection selectLockedCells="1" selectUnlockedCells="1"/>
  <mergeCells count="5">
    <mergeCell ref="B2:D2"/>
    <mergeCell ref="B3:D3"/>
    <mergeCell ref="A7:E7"/>
    <mergeCell ref="A93:E9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0" max="255" man="1"/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20" zoomScaleNormal="120" zoomScaleSheetLayoutView="100" workbookViewId="0" topLeftCell="A143">
      <selection activeCell="E143" sqref="E143"/>
    </sheetView>
  </sheetViews>
  <sheetFormatPr defaultColWidth="9.00390625" defaultRowHeight="12.75"/>
  <cols>
    <col min="1" max="1" width="16.125" style="156" customWidth="1"/>
    <col min="2" max="2" width="62.00390625" style="157" customWidth="1"/>
    <col min="3" max="3" width="14.125" style="15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45"/>
      <c r="B1" s="357"/>
      <c r="C1" s="358"/>
      <c r="D1" s="358"/>
      <c r="E1" s="669" t="str">
        <f>CONCATENATE("6.1.2. melléklet ",Z_ALAPADATOK!A7," ",Z_ALAPADATOK!B7," ",Z_ALAPADATOK!C7," ",Z_ALAPADATOK!D7," ",Z_ALAPADATOK!E7," ",Z_ALAPADATOK!F7," ",Z_ALAPADATOK!G7," ",Z_ALAPADATOK!H7)</f>
        <v>6.1.2. melléklet a 12 / 2020. ( VII.16. ) önkormányzati rendelethez</v>
      </c>
    </row>
    <row r="2" spans="1:5" s="48" customFormat="1" ht="21" customHeight="1" thickBot="1">
      <c r="A2" s="354" t="s">
        <v>45</v>
      </c>
      <c r="B2" s="875" t="str">
        <f>CONCATENATE(Z_ALAPADATOK!A3)</f>
        <v>Szalánta Községi Önkormányzat</v>
      </c>
      <c r="C2" s="875"/>
      <c r="D2" s="875"/>
      <c r="E2" s="355" t="s">
        <v>39</v>
      </c>
    </row>
    <row r="3" spans="1:5" s="48" customFormat="1" ht="24.75" thickBot="1">
      <c r="A3" s="354" t="s">
        <v>137</v>
      </c>
      <c r="B3" s="875" t="s">
        <v>326</v>
      </c>
      <c r="C3" s="875"/>
      <c r="D3" s="875"/>
      <c r="E3" s="356" t="s">
        <v>43</v>
      </c>
    </row>
    <row r="4" spans="1:5" s="49" customFormat="1" ht="15.75" customHeight="1" thickBot="1">
      <c r="A4" s="348"/>
      <c r="B4" s="348"/>
      <c r="C4" s="349"/>
      <c r="D4" s="350"/>
      <c r="E4" s="349" t="str">
        <f>'Z_6.1.1.sz.mell'!E4</f>
        <v>Forintban</v>
      </c>
    </row>
    <row r="5" spans="1:5" ht="24.75" thickBot="1">
      <c r="A5" s="351" t="s">
        <v>138</v>
      </c>
      <c r="B5" s="352" t="s">
        <v>489</v>
      </c>
      <c r="C5" s="352" t="s">
        <v>454</v>
      </c>
      <c r="D5" s="353" t="s">
        <v>455</v>
      </c>
      <c r="E5" s="334" t="str">
        <f>CONCATENATE('Z_6.1.1.sz.mell'!E5)</f>
        <v>Teljesítés
2019. XII. 31.</v>
      </c>
    </row>
    <row r="6" spans="1:5" s="44" customFormat="1" ht="12.75" customHeight="1" thickBot="1">
      <c r="A6" s="72" t="s">
        <v>387</v>
      </c>
      <c r="B6" s="73" t="s">
        <v>388</v>
      </c>
      <c r="C6" s="73" t="s">
        <v>389</v>
      </c>
      <c r="D6" s="306" t="s">
        <v>391</v>
      </c>
      <c r="E6" s="74" t="s">
        <v>390</v>
      </c>
    </row>
    <row r="7" spans="1:5" s="44" customFormat="1" ht="15.75" customHeight="1" thickBot="1">
      <c r="A7" s="872" t="s">
        <v>40</v>
      </c>
      <c r="B7" s="873"/>
      <c r="C7" s="873"/>
      <c r="D7" s="873"/>
      <c r="E7" s="874"/>
    </row>
    <row r="8" spans="1:5" s="44" customFormat="1" ht="12" customHeight="1" thickBot="1">
      <c r="A8" s="24" t="s">
        <v>6</v>
      </c>
      <c r="B8" s="19" t="s">
        <v>164</v>
      </c>
      <c r="C8" s="163">
        <f>+C9+C10+C11+C12+C13+C14</f>
        <v>0</v>
      </c>
      <c r="D8" s="249">
        <f>+D9+D10+D11+D12+D13+D14</f>
        <v>0</v>
      </c>
      <c r="E8" s="100">
        <f>+E9+E10+E11+E12+E13+E14</f>
        <v>0</v>
      </c>
    </row>
    <row r="9" spans="1:5" s="50" customFormat="1" ht="12" customHeight="1">
      <c r="A9" s="193" t="s">
        <v>64</v>
      </c>
      <c r="B9" s="176" t="s">
        <v>165</v>
      </c>
      <c r="C9" s="165"/>
      <c r="D9" s="250"/>
      <c r="E9" s="102"/>
    </row>
    <row r="10" spans="1:5" s="51" customFormat="1" ht="12" customHeight="1">
      <c r="A10" s="194" t="s">
        <v>65</v>
      </c>
      <c r="B10" s="177" t="s">
        <v>166</v>
      </c>
      <c r="C10" s="164"/>
      <c r="D10" s="251"/>
      <c r="E10" s="101"/>
    </row>
    <row r="11" spans="1:5" s="51" customFormat="1" ht="12" customHeight="1">
      <c r="A11" s="194" t="s">
        <v>66</v>
      </c>
      <c r="B11" s="177" t="s">
        <v>167</v>
      </c>
      <c r="C11" s="164"/>
      <c r="D11" s="251"/>
      <c r="E11" s="101"/>
    </row>
    <row r="12" spans="1:5" s="51" customFormat="1" ht="12" customHeight="1">
      <c r="A12" s="194" t="s">
        <v>67</v>
      </c>
      <c r="B12" s="177" t="s">
        <v>168</v>
      </c>
      <c r="C12" s="164"/>
      <c r="D12" s="251"/>
      <c r="E12" s="101"/>
    </row>
    <row r="13" spans="1:5" s="51" customFormat="1" ht="12" customHeight="1">
      <c r="A13" s="194" t="s">
        <v>99</v>
      </c>
      <c r="B13" s="177" t="s">
        <v>395</v>
      </c>
      <c r="C13" s="164"/>
      <c r="D13" s="251"/>
      <c r="E13" s="101"/>
    </row>
    <row r="14" spans="1:5" s="50" customFormat="1" ht="12" customHeight="1" thickBot="1">
      <c r="A14" s="195" t="s">
        <v>68</v>
      </c>
      <c r="B14" s="178" t="s">
        <v>336</v>
      </c>
      <c r="C14" s="164"/>
      <c r="D14" s="251"/>
      <c r="E14" s="101"/>
    </row>
    <row r="15" spans="1:5" s="50" customFormat="1" ht="12" customHeight="1" thickBot="1">
      <c r="A15" s="24" t="s">
        <v>7</v>
      </c>
      <c r="B15" s="107" t="s">
        <v>169</v>
      </c>
      <c r="C15" s="163">
        <f>+C16+C17+C18+C19+C20</f>
        <v>0</v>
      </c>
      <c r="D15" s="249">
        <f>+D16+D17+D18+D19+D20</f>
        <v>0</v>
      </c>
      <c r="E15" s="100">
        <f>+E16+E17+E18+E19+E20</f>
        <v>0</v>
      </c>
    </row>
    <row r="16" spans="1:5" s="50" customFormat="1" ht="12" customHeight="1">
      <c r="A16" s="193" t="s">
        <v>70</v>
      </c>
      <c r="B16" s="176" t="s">
        <v>170</v>
      </c>
      <c r="C16" s="165"/>
      <c r="D16" s="250"/>
      <c r="E16" s="102"/>
    </row>
    <row r="17" spans="1:5" s="50" customFormat="1" ht="12" customHeight="1">
      <c r="A17" s="194" t="s">
        <v>71</v>
      </c>
      <c r="B17" s="177" t="s">
        <v>171</v>
      </c>
      <c r="C17" s="164"/>
      <c r="D17" s="251"/>
      <c r="E17" s="101"/>
    </row>
    <row r="18" spans="1:5" s="50" customFormat="1" ht="12" customHeight="1">
      <c r="A18" s="194" t="s">
        <v>72</v>
      </c>
      <c r="B18" s="177" t="s">
        <v>328</v>
      </c>
      <c r="C18" s="164"/>
      <c r="D18" s="251"/>
      <c r="E18" s="101"/>
    </row>
    <row r="19" spans="1:5" s="50" customFormat="1" ht="12" customHeight="1">
      <c r="A19" s="194" t="s">
        <v>73</v>
      </c>
      <c r="B19" s="177" t="s">
        <v>329</v>
      </c>
      <c r="C19" s="164"/>
      <c r="D19" s="251"/>
      <c r="E19" s="101"/>
    </row>
    <row r="20" spans="1:5" s="50" customFormat="1" ht="12" customHeight="1">
      <c r="A20" s="194" t="s">
        <v>74</v>
      </c>
      <c r="B20" s="177" t="s">
        <v>172</v>
      </c>
      <c r="C20" s="164"/>
      <c r="D20" s="251"/>
      <c r="E20" s="101"/>
    </row>
    <row r="21" spans="1:5" s="51" customFormat="1" ht="12" customHeight="1" thickBot="1">
      <c r="A21" s="195" t="s">
        <v>81</v>
      </c>
      <c r="B21" s="178" t="s">
        <v>173</v>
      </c>
      <c r="C21" s="166"/>
      <c r="D21" s="252"/>
      <c r="E21" s="103"/>
    </row>
    <row r="22" spans="1:5" s="51" customFormat="1" ht="12" customHeight="1" thickBot="1">
      <c r="A22" s="24" t="s">
        <v>8</v>
      </c>
      <c r="B22" s="19" t="s">
        <v>174</v>
      </c>
      <c r="C22" s="163">
        <f>+C23+C24+C25+C26+C27</f>
        <v>0</v>
      </c>
      <c r="D22" s="249">
        <f>+D23+D24+D25+D26+D27</f>
        <v>0</v>
      </c>
      <c r="E22" s="100">
        <f>+E23+E24+E25+E26+E27</f>
        <v>0</v>
      </c>
    </row>
    <row r="23" spans="1:5" s="51" customFormat="1" ht="12" customHeight="1">
      <c r="A23" s="193" t="s">
        <v>53</v>
      </c>
      <c r="B23" s="176" t="s">
        <v>175</v>
      </c>
      <c r="C23" s="165"/>
      <c r="D23" s="250"/>
      <c r="E23" s="102"/>
    </row>
    <row r="24" spans="1:5" s="50" customFormat="1" ht="12" customHeight="1">
      <c r="A24" s="194" t="s">
        <v>54</v>
      </c>
      <c r="B24" s="177" t="s">
        <v>176</v>
      </c>
      <c r="C24" s="164"/>
      <c r="D24" s="251"/>
      <c r="E24" s="101"/>
    </row>
    <row r="25" spans="1:5" s="51" customFormat="1" ht="12" customHeight="1">
      <c r="A25" s="194" t="s">
        <v>55</v>
      </c>
      <c r="B25" s="177" t="s">
        <v>330</v>
      </c>
      <c r="C25" s="164"/>
      <c r="D25" s="251"/>
      <c r="E25" s="101"/>
    </row>
    <row r="26" spans="1:5" s="51" customFormat="1" ht="12" customHeight="1">
      <c r="A26" s="194" t="s">
        <v>56</v>
      </c>
      <c r="B26" s="177" t="s">
        <v>331</v>
      </c>
      <c r="C26" s="164"/>
      <c r="D26" s="251"/>
      <c r="E26" s="101"/>
    </row>
    <row r="27" spans="1:5" s="51" customFormat="1" ht="12" customHeight="1">
      <c r="A27" s="194" t="s">
        <v>112</v>
      </c>
      <c r="B27" s="177" t="s">
        <v>177</v>
      </c>
      <c r="C27" s="164"/>
      <c r="D27" s="251"/>
      <c r="E27" s="101"/>
    </row>
    <row r="28" spans="1:5" s="51" customFormat="1" ht="12" customHeight="1" thickBot="1">
      <c r="A28" s="195" t="s">
        <v>113</v>
      </c>
      <c r="B28" s="178" t="s">
        <v>178</v>
      </c>
      <c r="C28" s="166"/>
      <c r="D28" s="252"/>
      <c r="E28" s="103"/>
    </row>
    <row r="29" spans="1:5" s="51" customFormat="1" ht="12" customHeight="1" thickBot="1">
      <c r="A29" s="24" t="s">
        <v>114</v>
      </c>
      <c r="B29" s="19" t="s">
        <v>481</v>
      </c>
      <c r="C29" s="169">
        <f>SUM(C30:C37)</f>
        <v>0</v>
      </c>
      <c r="D29" s="169">
        <f>SUM(D30:D37)</f>
        <v>0</v>
      </c>
      <c r="E29" s="205">
        <f>SUM(E30:E37)</f>
        <v>0</v>
      </c>
    </row>
    <row r="30" spans="1:5" s="51" customFormat="1" ht="12" customHeight="1">
      <c r="A30" s="193" t="s">
        <v>179</v>
      </c>
      <c r="B30" s="176" t="s">
        <v>482</v>
      </c>
      <c r="C30" s="165">
        <f>+C32+C33+C34</f>
        <v>0</v>
      </c>
      <c r="D30" s="165">
        <f>+D32+D33+D34</f>
        <v>0</v>
      </c>
      <c r="E30" s="102">
        <f>+E32+E33+E34</f>
        <v>0</v>
      </c>
    </row>
    <row r="31" spans="1:5" s="51" customFormat="1" ht="12" customHeight="1">
      <c r="A31" s="193" t="s">
        <v>879</v>
      </c>
      <c r="B31" s="176" t="s">
        <v>878</v>
      </c>
      <c r="C31" s="165"/>
      <c r="D31" s="165"/>
      <c r="E31" s="102"/>
    </row>
    <row r="32" spans="1:5" s="51" customFormat="1" ht="12" customHeight="1">
      <c r="A32" s="194" t="s">
        <v>181</v>
      </c>
      <c r="B32" s="177" t="s">
        <v>883</v>
      </c>
      <c r="C32" s="164"/>
      <c r="D32" s="164"/>
      <c r="E32" s="101"/>
    </row>
    <row r="33" spans="1:5" s="51" customFormat="1" ht="12" customHeight="1">
      <c r="A33" s="194" t="s">
        <v>182</v>
      </c>
      <c r="B33" s="177" t="s">
        <v>483</v>
      </c>
      <c r="C33" s="164"/>
      <c r="D33" s="164"/>
      <c r="E33" s="101"/>
    </row>
    <row r="34" spans="1:5" s="51" customFormat="1" ht="12" customHeight="1">
      <c r="A34" s="194" t="s">
        <v>880</v>
      </c>
      <c r="B34" s="177" t="s">
        <v>484</v>
      </c>
      <c r="C34" s="164"/>
      <c r="D34" s="164"/>
      <c r="E34" s="101"/>
    </row>
    <row r="35" spans="1:5" s="51" customFormat="1" ht="12" customHeight="1">
      <c r="A35" s="194" t="s">
        <v>486</v>
      </c>
      <c r="B35" s="177" t="s">
        <v>183</v>
      </c>
      <c r="C35" s="164"/>
      <c r="D35" s="164"/>
      <c r="E35" s="101"/>
    </row>
    <row r="36" spans="1:5" s="51" customFormat="1" ht="12" customHeight="1">
      <c r="A36" s="194" t="s">
        <v>487</v>
      </c>
      <c r="B36" s="177" t="s">
        <v>184</v>
      </c>
      <c r="C36" s="164"/>
      <c r="D36" s="164"/>
      <c r="E36" s="101"/>
    </row>
    <row r="37" spans="1:5" s="51" customFormat="1" ht="12" customHeight="1" thickBot="1">
      <c r="A37" s="195" t="s">
        <v>881</v>
      </c>
      <c r="B37" s="318" t="s">
        <v>185</v>
      </c>
      <c r="C37" s="166"/>
      <c r="D37" s="166"/>
      <c r="E37" s="103"/>
    </row>
    <row r="38" spans="1:5" s="51" customFormat="1" ht="12" customHeight="1" thickBot="1">
      <c r="A38" s="24" t="s">
        <v>10</v>
      </c>
      <c r="B38" s="19" t="s">
        <v>337</v>
      </c>
      <c r="C38" s="163">
        <f>SUM(C39:C49)</f>
        <v>0</v>
      </c>
      <c r="D38" s="249">
        <f>SUM(D39:D49)</f>
        <v>0</v>
      </c>
      <c r="E38" s="100">
        <f>SUM(E39:E49)</f>
        <v>0</v>
      </c>
    </row>
    <row r="39" spans="1:5" s="51" customFormat="1" ht="12" customHeight="1">
      <c r="A39" s="193" t="s">
        <v>57</v>
      </c>
      <c r="B39" s="176" t="s">
        <v>188</v>
      </c>
      <c r="C39" s="165"/>
      <c r="D39" s="250"/>
      <c r="E39" s="102"/>
    </row>
    <row r="40" spans="1:5" s="51" customFormat="1" ht="12" customHeight="1">
      <c r="A40" s="194" t="s">
        <v>58</v>
      </c>
      <c r="B40" s="177" t="s">
        <v>189</v>
      </c>
      <c r="C40" s="164"/>
      <c r="D40" s="251"/>
      <c r="E40" s="101"/>
    </row>
    <row r="41" spans="1:5" s="51" customFormat="1" ht="12" customHeight="1">
      <c r="A41" s="194" t="s">
        <v>59</v>
      </c>
      <c r="B41" s="177" t="s">
        <v>190</v>
      </c>
      <c r="C41" s="164"/>
      <c r="D41" s="251"/>
      <c r="E41" s="101"/>
    </row>
    <row r="42" spans="1:5" s="51" customFormat="1" ht="12" customHeight="1">
      <c r="A42" s="194" t="s">
        <v>116</v>
      </c>
      <c r="B42" s="177" t="s">
        <v>191</v>
      </c>
      <c r="C42" s="164"/>
      <c r="D42" s="251"/>
      <c r="E42" s="101"/>
    </row>
    <row r="43" spans="1:5" s="51" customFormat="1" ht="12" customHeight="1">
      <c r="A43" s="194" t="s">
        <v>117</v>
      </c>
      <c r="B43" s="177" t="s">
        <v>192</v>
      </c>
      <c r="C43" s="164"/>
      <c r="D43" s="251"/>
      <c r="E43" s="101"/>
    </row>
    <row r="44" spans="1:5" s="51" customFormat="1" ht="12" customHeight="1">
      <c r="A44" s="194" t="s">
        <v>118</v>
      </c>
      <c r="B44" s="177" t="s">
        <v>193</v>
      </c>
      <c r="C44" s="164"/>
      <c r="D44" s="251"/>
      <c r="E44" s="101"/>
    </row>
    <row r="45" spans="1:5" s="51" customFormat="1" ht="12" customHeight="1">
      <c r="A45" s="194" t="s">
        <v>119</v>
      </c>
      <c r="B45" s="177" t="s">
        <v>194</v>
      </c>
      <c r="C45" s="164"/>
      <c r="D45" s="251"/>
      <c r="E45" s="101"/>
    </row>
    <row r="46" spans="1:5" s="51" customFormat="1" ht="12" customHeight="1">
      <c r="A46" s="194" t="s">
        <v>120</v>
      </c>
      <c r="B46" s="177" t="s">
        <v>488</v>
      </c>
      <c r="C46" s="164"/>
      <c r="D46" s="251"/>
      <c r="E46" s="101"/>
    </row>
    <row r="47" spans="1:5" s="51" customFormat="1" ht="12" customHeight="1">
      <c r="A47" s="194" t="s">
        <v>186</v>
      </c>
      <c r="B47" s="177" t="s">
        <v>196</v>
      </c>
      <c r="C47" s="167"/>
      <c r="D47" s="307"/>
      <c r="E47" s="104"/>
    </row>
    <row r="48" spans="1:5" s="51" customFormat="1" ht="12" customHeight="1">
      <c r="A48" s="195" t="s">
        <v>187</v>
      </c>
      <c r="B48" s="178" t="s">
        <v>339</v>
      </c>
      <c r="C48" s="168"/>
      <c r="D48" s="308"/>
      <c r="E48" s="105"/>
    </row>
    <row r="49" spans="1:5" s="51" customFormat="1" ht="12" customHeight="1" thickBot="1">
      <c r="A49" s="195" t="s">
        <v>338</v>
      </c>
      <c r="B49" s="178" t="s">
        <v>197</v>
      </c>
      <c r="C49" s="168"/>
      <c r="D49" s="308"/>
      <c r="E49" s="105"/>
    </row>
    <row r="50" spans="1:5" s="51" customFormat="1" ht="12" customHeight="1" thickBot="1">
      <c r="A50" s="24" t="s">
        <v>11</v>
      </c>
      <c r="B50" s="19" t="s">
        <v>198</v>
      </c>
      <c r="C50" s="163">
        <f>SUM(C51:C55)</f>
        <v>0</v>
      </c>
      <c r="D50" s="249">
        <f>SUM(D51:D55)</f>
        <v>0</v>
      </c>
      <c r="E50" s="100">
        <f>SUM(E51:E55)</f>
        <v>0</v>
      </c>
    </row>
    <row r="51" spans="1:5" s="51" customFormat="1" ht="12" customHeight="1">
      <c r="A51" s="193" t="s">
        <v>60</v>
      </c>
      <c r="B51" s="176" t="s">
        <v>202</v>
      </c>
      <c r="C51" s="216"/>
      <c r="D51" s="309"/>
      <c r="E51" s="106"/>
    </row>
    <row r="52" spans="1:5" s="51" customFormat="1" ht="12" customHeight="1">
      <c r="A52" s="194" t="s">
        <v>61</v>
      </c>
      <c r="B52" s="177" t="s">
        <v>203</v>
      </c>
      <c r="C52" s="167"/>
      <c r="D52" s="307"/>
      <c r="E52" s="104"/>
    </row>
    <row r="53" spans="1:5" s="51" customFormat="1" ht="12" customHeight="1">
      <c r="A53" s="194" t="s">
        <v>199</v>
      </c>
      <c r="B53" s="177" t="s">
        <v>204</v>
      </c>
      <c r="C53" s="167"/>
      <c r="D53" s="307"/>
      <c r="E53" s="104"/>
    </row>
    <row r="54" spans="1:5" s="51" customFormat="1" ht="12" customHeight="1">
      <c r="A54" s="194" t="s">
        <v>200</v>
      </c>
      <c r="B54" s="177" t="s">
        <v>205</v>
      </c>
      <c r="C54" s="167"/>
      <c r="D54" s="307"/>
      <c r="E54" s="104"/>
    </row>
    <row r="55" spans="1:5" s="51" customFormat="1" ht="12" customHeight="1" thickBot="1">
      <c r="A55" s="195" t="s">
        <v>201</v>
      </c>
      <c r="B55" s="178" t="s">
        <v>206</v>
      </c>
      <c r="C55" s="168"/>
      <c r="D55" s="308"/>
      <c r="E55" s="105"/>
    </row>
    <row r="56" spans="1:5" s="51" customFormat="1" ht="12" customHeight="1" thickBot="1">
      <c r="A56" s="24" t="s">
        <v>121</v>
      </c>
      <c r="B56" s="19" t="s">
        <v>207</v>
      </c>
      <c r="C56" s="163">
        <f>SUM(C57:C59)</f>
        <v>0</v>
      </c>
      <c r="D56" s="249">
        <f>SUM(D57:D59)</f>
        <v>0</v>
      </c>
      <c r="E56" s="100">
        <f>SUM(E57:E59)</f>
        <v>0</v>
      </c>
    </row>
    <row r="57" spans="1:5" s="51" customFormat="1" ht="12" customHeight="1">
      <c r="A57" s="193" t="s">
        <v>62</v>
      </c>
      <c r="B57" s="176" t="s">
        <v>208</v>
      </c>
      <c r="C57" s="165"/>
      <c r="D57" s="250"/>
      <c r="E57" s="102"/>
    </row>
    <row r="58" spans="1:5" s="51" customFormat="1" ht="12" customHeight="1">
      <c r="A58" s="194" t="s">
        <v>63</v>
      </c>
      <c r="B58" s="177" t="s">
        <v>332</v>
      </c>
      <c r="C58" s="164"/>
      <c r="D58" s="251"/>
      <c r="E58" s="101"/>
    </row>
    <row r="59" spans="1:5" s="51" customFormat="1" ht="12" customHeight="1">
      <c r="A59" s="194" t="s">
        <v>211</v>
      </c>
      <c r="B59" s="177" t="s">
        <v>209</v>
      </c>
      <c r="C59" s="164"/>
      <c r="D59" s="251"/>
      <c r="E59" s="101"/>
    </row>
    <row r="60" spans="1:5" s="51" customFormat="1" ht="12" customHeight="1" thickBot="1">
      <c r="A60" s="195" t="s">
        <v>212</v>
      </c>
      <c r="B60" s="178" t="s">
        <v>210</v>
      </c>
      <c r="C60" s="166"/>
      <c r="D60" s="252"/>
      <c r="E60" s="103"/>
    </row>
    <row r="61" spans="1:5" s="51" customFormat="1" ht="12" customHeight="1" thickBot="1">
      <c r="A61" s="24" t="s">
        <v>13</v>
      </c>
      <c r="B61" s="107" t="s">
        <v>213</v>
      </c>
      <c r="C61" s="163">
        <f>SUM(C62:C64)</f>
        <v>0</v>
      </c>
      <c r="D61" s="249">
        <f>SUM(D62:D64)</f>
        <v>0</v>
      </c>
      <c r="E61" s="100">
        <f>SUM(E62:E64)</f>
        <v>0</v>
      </c>
    </row>
    <row r="62" spans="1:5" s="51" customFormat="1" ht="12" customHeight="1">
      <c r="A62" s="193" t="s">
        <v>122</v>
      </c>
      <c r="B62" s="176" t="s">
        <v>215</v>
      </c>
      <c r="C62" s="167"/>
      <c r="D62" s="307"/>
      <c r="E62" s="104"/>
    </row>
    <row r="63" spans="1:5" s="51" customFormat="1" ht="12" customHeight="1">
      <c r="A63" s="194" t="s">
        <v>123</v>
      </c>
      <c r="B63" s="177" t="s">
        <v>333</v>
      </c>
      <c r="C63" s="167"/>
      <c r="D63" s="307"/>
      <c r="E63" s="104"/>
    </row>
    <row r="64" spans="1:5" s="51" customFormat="1" ht="12" customHeight="1">
      <c r="A64" s="194" t="s">
        <v>146</v>
      </c>
      <c r="B64" s="177" t="s">
        <v>216</v>
      </c>
      <c r="C64" s="167"/>
      <c r="D64" s="307"/>
      <c r="E64" s="104"/>
    </row>
    <row r="65" spans="1:5" s="51" customFormat="1" ht="12" customHeight="1" thickBot="1">
      <c r="A65" s="195" t="s">
        <v>214</v>
      </c>
      <c r="B65" s="178" t="s">
        <v>217</v>
      </c>
      <c r="C65" s="167"/>
      <c r="D65" s="307"/>
      <c r="E65" s="104"/>
    </row>
    <row r="66" spans="1:5" s="51" customFormat="1" ht="12" customHeight="1" thickBot="1">
      <c r="A66" s="24" t="s">
        <v>14</v>
      </c>
      <c r="B66" s="19" t="s">
        <v>218</v>
      </c>
      <c r="C66" s="169">
        <f>+C8+C15+C22+C29+C38+C50+C56+C61</f>
        <v>0</v>
      </c>
      <c r="D66" s="253">
        <f>+D8+D15+D22+D29+D38+D50+D56+D61</f>
        <v>0</v>
      </c>
      <c r="E66" s="205">
        <f>+E8+E15+E22+E29+E38+E50+E56+E61</f>
        <v>0</v>
      </c>
    </row>
    <row r="67" spans="1:5" s="51" customFormat="1" ht="12" customHeight="1" thickBot="1">
      <c r="A67" s="196" t="s">
        <v>303</v>
      </c>
      <c r="B67" s="107" t="s">
        <v>220</v>
      </c>
      <c r="C67" s="163">
        <f>SUM(C68:C70)</f>
        <v>0</v>
      </c>
      <c r="D67" s="249">
        <f>SUM(D68:D70)</f>
        <v>0</v>
      </c>
      <c r="E67" s="100">
        <f>SUM(E68:E70)</f>
        <v>0</v>
      </c>
    </row>
    <row r="68" spans="1:5" s="51" customFormat="1" ht="12" customHeight="1">
      <c r="A68" s="193" t="s">
        <v>248</v>
      </c>
      <c r="B68" s="176" t="s">
        <v>221</v>
      </c>
      <c r="C68" s="167"/>
      <c r="D68" s="307"/>
      <c r="E68" s="104"/>
    </row>
    <row r="69" spans="1:5" s="51" customFormat="1" ht="12" customHeight="1">
      <c r="A69" s="194" t="s">
        <v>257</v>
      </c>
      <c r="B69" s="177" t="s">
        <v>222</v>
      </c>
      <c r="C69" s="167"/>
      <c r="D69" s="307"/>
      <c r="E69" s="104"/>
    </row>
    <row r="70" spans="1:5" s="51" customFormat="1" ht="12" customHeight="1" thickBot="1">
      <c r="A70" s="195" t="s">
        <v>258</v>
      </c>
      <c r="B70" s="179" t="s">
        <v>223</v>
      </c>
      <c r="C70" s="167"/>
      <c r="D70" s="310"/>
      <c r="E70" s="104"/>
    </row>
    <row r="71" spans="1:5" s="51" customFormat="1" ht="12" customHeight="1" thickBot="1">
      <c r="A71" s="196" t="s">
        <v>224</v>
      </c>
      <c r="B71" s="107" t="s">
        <v>225</v>
      </c>
      <c r="C71" s="163">
        <f>SUM(C72:C75)</f>
        <v>0</v>
      </c>
      <c r="D71" s="163">
        <f>SUM(D72:D75)</f>
        <v>0</v>
      </c>
      <c r="E71" s="100">
        <f>SUM(E72:E75)</f>
        <v>0</v>
      </c>
    </row>
    <row r="72" spans="1:5" s="51" customFormat="1" ht="12" customHeight="1">
      <c r="A72" s="193" t="s">
        <v>100</v>
      </c>
      <c r="B72" s="325" t="s">
        <v>226</v>
      </c>
      <c r="C72" s="167"/>
      <c r="D72" s="167"/>
      <c r="E72" s="104"/>
    </row>
    <row r="73" spans="1:5" s="51" customFormat="1" ht="12" customHeight="1">
      <c r="A73" s="194" t="s">
        <v>101</v>
      </c>
      <c r="B73" s="325" t="s">
        <v>495</v>
      </c>
      <c r="C73" s="167"/>
      <c r="D73" s="167"/>
      <c r="E73" s="104"/>
    </row>
    <row r="74" spans="1:5" s="51" customFormat="1" ht="12" customHeight="1">
      <c r="A74" s="194" t="s">
        <v>249</v>
      </c>
      <c r="B74" s="325" t="s">
        <v>227</v>
      </c>
      <c r="C74" s="167"/>
      <c r="D74" s="167"/>
      <c r="E74" s="104"/>
    </row>
    <row r="75" spans="1:5" s="51" customFormat="1" ht="12" customHeight="1" thickBot="1">
      <c r="A75" s="195" t="s">
        <v>250</v>
      </c>
      <c r="B75" s="326" t="s">
        <v>496</v>
      </c>
      <c r="C75" s="167"/>
      <c r="D75" s="167"/>
      <c r="E75" s="104"/>
    </row>
    <row r="76" spans="1:5" s="51" customFormat="1" ht="12" customHeight="1" thickBot="1">
      <c r="A76" s="196" t="s">
        <v>228</v>
      </c>
      <c r="B76" s="107" t="s">
        <v>229</v>
      </c>
      <c r="C76" s="163">
        <f>SUM(C77:C78)</f>
        <v>0</v>
      </c>
      <c r="D76" s="163">
        <f>SUM(D77:D78)</f>
        <v>0</v>
      </c>
      <c r="E76" s="100">
        <f>SUM(E77:E78)</f>
        <v>0</v>
      </c>
    </row>
    <row r="77" spans="1:5" s="51" customFormat="1" ht="12" customHeight="1">
      <c r="A77" s="193" t="s">
        <v>251</v>
      </c>
      <c r="B77" s="176" t="s">
        <v>230</v>
      </c>
      <c r="C77" s="167"/>
      <c r="D77" s="167"/>
      <c r="E77" s="104"/>
    </row>
    <row r="78" spans="1:5" s="51" customFormat="1" ht="12" customHeight="1" thickBot="1">
      <c r="A78" s="195" t="s">
        <v>252</v>
      </c>
      <c r="B78" s="178" t="s">
        <v>231</v>
      </c>
      <c r="C78" s="167"/>
      <c r="D78" s="167"/>
      <c r="E78" s="104"/>
    </row>
    <row r="79" spans="1:5" s="50" customFormat="1" ht="12" customHeight="1" thickBot="1">
      <c r="A79" s="196" t="s">
        <v>232</v>
      </c>
      <c r="B79" s="107" t="s">
        <v>233</v>
      </c>
      <c r="C79" s="163">
        <f>SUM(C80:C82)</f>
        <v>0</v>
      </c>
      <c r="D79" s="163">
        <f>SUM(D80:D82)</f>
        <v>0</v>
      </c>
      <c r="E79" s="100">
        <f>SUM(E80:E82)</f>
        <v>0</v>
      </c>
    </row>
    <row r="80" spans="1:5" s="51" customFormat="1" ht="12" customHeight="1">
      <c r="A80" s="193" t="s">
        <v>253</v>
      </c>
      <c r="B80" s="176" t="s">
        <v>234</v>
      </c>
      <c r="C80" s="167"/>
      <c r="D80" s="167"/>
      <c r="E80" s="104"/>
    </row>
    <row r="81" spans="1:5" s="51" customFormat="1" ht="12" customHeight="1">
      <c r="A81" s="194" t="s">
        <v>254</v>
      </c>
      <c r="B81" s="177" t="s">
        <v>235</v>
      </c>
      <c r="C81" s="167"/>
      <c r="D81" s="167"/>
      <c r="E81" s="104"/>
    </row>
    <row r="82" spans="1:5" s="51" customFormat="1" ht="12" customHeight="1" thickBot="1">
      <c r="A82" s="195" t="s">
        <v>255</v>
      </c>
      <c r="B82" s="178" t="s">
        <v>497</v>
      </c>
      <c r="C82" s="167"/>
      <c r="D82" s="167"/>
      <c r="E82" s="104"/>
    </row>
    <row r="83" spans="1:5" s="51" customFormat="1" ht="12" customHeight="1" thickBot="1">
      <c r="A83" s="196" t="s">
        <v>236</v>
      </c>
      <c r="B83" s="107" t="s">
        <v>256</v>
      </c>
      <c r="C83" s="163">
        <f>SUM(C84:C87)</f>
        <v>0</v>
      </c>
      <c r="D83" s="163">
        <f>SUM(D84:D87)</f>
        <v>0</v>
      </c>
      <c r="E83" s="100">
        <f>SUM(E84:E87)</f>
        <v>0</v>
      </c>
    </row>
    <row r="84" spans="1:5" s="51" customFormat="1" ht="12" customHeight="1">
      <c r="A84" s="197" t="s">
        <v>237</v>
      </c>
      <c r="B84" s="176" t="s">
        <v>238</v>
      </c>
      <c r="C84" s="167"/>
      <c r="D84" s="167"/>
      <c r="E84" s="104"/>
    </row>
    <row r="85" spans="1:5" s="51" customFormat="1" ht="12" customHeight="1">
      <c r="A85" s="198" t="s">
        <v>239</v>
      </c>
      <c r="B85" s="177" t="s">
        <v>240</v>
      </c>
      <c r="C85" s="167"/>
      <c r="D85" s="167"/>
      <c r="E85" s="104"/>
    </row>
    <row r="86" spans="1:5" s="51" customFormat="1" ht="12" customHeight="1">
      <c r="A86" s="198" t="s">
        <v>241</v>
      </c>
      <c r="B86" s="177" t="s">
        <v>242</v>
      </c>
      <c r="C86" s="167"/>
      <c r="D86" s="167"/>
      <c r="E86" s="104"/>
    </row>
    <row r="87" spans="1:5" s="50" customFormat="1" ht="12" customHeight="1" thickBot="1">
      <c r="A87" s="199" t="s">
        <v>243</v>
      </c>
      <c r="B87" s="178" t="s">
        <v>244</v>
      </c>
      <c r="C87" s="167"/>
      <c r="D87" s="167"/>
      <c r="E87" s="104"/>
    </row>
    <row r="88" spans="1:5" s="50" customFormat="1" ht="12" customHeight="1" thickBot="1">
      <c r="A88" s="196" t="s">
        <v>245</v>
      </c>
      <c r="B88" s="107" t="s">
        <v>378</v>
      </c>
      <c r="C88" s="219"/>
      <c r="D88" s="219"/>
      <c r="E88" s="220"/>
    </row>
    <row r="89" spans="1:5" s="50" customFormat="1" ht="12" customHeight="1" thickBot="1">
      <c r="A89" s="196" t="s">
        <v>396</v>
      </c>
      <c r="B89" s="107" t="s">
        <v>246</v>
      </c>
      <c r="C89" s="219"/>
      <c r="D89" s="219"/>
      <c r="E89" s="220"/>
    </row>
    <row r="90" spans="1:5" s="50" customFormat="1" ht="12" customHeight="1" thickBot="1">
      <c r="A90" s="196" t="s">
        <v>397</v>
      </c>
      <c r="B90" s="183" t="s">
        <v>381</v>
      </c>
      <c r="C90" s="169">
        <f>+C67+C71+C76+C79+C83+C89+C88</f>
        <v>0</v>
      </c>
      <c r="D90" s="169">
        <f>+D67+D71+D76+D79+D83+D89+D88</f>
        <v>0</v>
      </c>
      <c r="E90" s="205">
        <f>+E67+E71+E76+E79+E83+E89+E88</f>
        <v>0</v>
      </c>
    </row>
    <row r="91" spans="1:5" s="50" customFormat="1" ht="12" customHeight="1" thickBot="1">
      <c r="A91" s="200" t="s">
        <v>398</v>
      </c>
      <c r="B91" s="184" t="s">
        <v>399</v>
      </c>
      <c r="C91" s="169">
        <f>+C66+C90</f>
        <v>0</v>
      </c>
      <c r="D91" s="169">
        <f>+D66+D90</f>
        <v>0</v>
      </c>
      <c r="E91" s="205">
        <f>+E66+E90</f>
        <v>0</v>
      </c>
    </row>
    <row r="92" spans="1:3" s="51" customFormat="1" ht="15" customHeight="1" thickBot="1">
      <c r="A92" s="84"/>
      <c r="B92" s="85"/>
      <c r="C92" s="145"/>
    </row>
    <row r="93" spans="1:5" s="44" customFormat="1" ht="16.5" customHeight="1" thickBot="1">
      <c r="A93" s="872" t="s">
        <v>41</v>
      </c>
      <c r="B93" s="873"/>
      <c r="C93" s="873"/>
      <c r="D93" s="873"/>
      <c r="E93" s="874"/>
    </row>
    <row r="94" spans="1:5" s="52" customFormat="1" ht="12" customHeight="1" thickBot="1">
      <c r="A94" s="170" t="s">
        <v>6</v>
      </c>
      <c r="B94" s="23" t="s">
        <v>403</v>
      </c>
      <c r="C94" s="162">
        <f>+C95+C96+C97+C98+C99+C112</f>
        <v>1630000</v>
      </c>
      <c r="D94" s="162">
        <f>+D95+D96+D97+D98+D99+D112</f>
        <v>1680000</v>
      </c>
      <c r="E94" s="232">
        <f>+E95+E96+E97+E98+E99+E112</f>
        <v>1670000</v>
      </c>
    </row>
    <row r="95" spans="1:5" ht="12" customHeight="1">
      <c r="A95" s="201" t="s">
        <v>64</v>
      </c>
      <c r="B95" s="8" t="s">
        <v>35</v>
      </c>
      <c r="C95" s="239"/>
      <c r="D95" s="239"/>
      <c r="E95" s="233"/>
    </row>
    <row r="96" spans="1:5" ht="12" customHeight="1">
      <c r="A96" s="194" t="s">
        <v>65</v>
      </c>
      <c r="B96" s="6" t="s">
        <v>124</v>
      </c>
      <c r="C96" s="164"/>
      <c r="D96" s="164"/>
      <c r="E96" s="101"/>
    </row>
    <row r="97" spans="1:5" ht="12" customHeight="1">
      <c r="A97" s="194" t="s">
        <v>66</v>
      </c>
      <c r="B97" s="6" t="s">
        <v>92</v>
      </c>
      <c r="C97" s="166"/>
      <c r="D97" s="164"/>
      <c r="E97" s="103"/>
    </row>
    <row r="98" spans="1:5" ht="12" customHeight="1">
      <c r="A98" s="194" t="s">
        <v>67</v>
      </c>
      <c r="B98" s="9" t="s">
        <v>125</v>
      </c>
      <c r="C98" s="166"/>
      <c r="D98" s="252"/>
      <c r="E98" s="103"/>
    </row>
    <row r="99" spans="1:5" ht="12" customHeight="1">
      <c r="A99" s="194" t="s">
        <v>76</v>
      </c>
      <c r="B99" s="17" t="s">
        <v>126</v>
      </c>
      <c r="C99" s="166">
        <v>1630000</v>
      </c>
      <c r="D99" s="252">
        <v>1680000</v>
      </c>
      <c r="E99" s="103">
        <v>1670000</v>
      </c>
    </row>
    <row r="100" spans="1:5" ht="12" customHeight="1">
      <c r="A100" s="194" t="s">
        <v>68</v>
      </c>
      <c r="B100" s="6" t="s">
        <v>400</v>
      </c>
      <c r="C100" s="166"/>
      <c r="D100" s="252"/>
      <c r="E100" s="103"/>
    </row>
    <row r="101" spans="1:5" ht="12" customHeight="1">
      <c r="A101" s="194" t="s">
        <v>69</v>
      </c>
      <c r="B101" s="60" t="s">
        <v>344</v>
      </c>
      <c r="C101" s="166"/>
      <c r="D101" s="252"/>
      <c r="E101" s="103"/>
    </row>
    <row r="102" spans="1:5" ht="12" customHeight="1">
      <c r="A102" s="194" t="s">
        <v>77</v>
      </c>
      <c r="B102" s="60" t="s">
        <v>343</v>
      </c>
      <c r="C102" s="166"/>
      <c r="D102" s="252"/>
      <c r="E102" s="103"/>
    </row>
    <row r="103" spans="1:5" ht="12" customHeight="1">
      <c r="A103" s="194" t="s">
        <v>78</v>
      </c>
      <c r="B103" s="60" t="s">
        <v>262</v>
      </c>
      <c r="C103" s="166"/>
      <c r="D103" s="252"/>
      <c r="E103" s="103"/>
    </row>
    <row r="104" spans="1:5" ht="12" customHeight="1">
      <c r="A104" s="194" t="s">
        <v>79</v>
      </c>
      <c r="B104" s="61" t="s">
        <v>263</v>
      </c>
      <c r="C104" s="166"/>
      <c r="D104" s="252"/>
      <c r="E104" s="103"/>
    </row>
    <row r="105" spans="1:5" ht="12" customHeight="1">
      <c r="A105" s="194" t="s">
        <v>80</v>
      </c>
      <c r="B105" s="61" t="s">
        <v>264</v>
      </c>
      <c r="C105" s="166"/>
      <c r="D105" s="252"/>
      <c r="E105" s="103"/>
    </row>
    <row r="106" spans="1:5" ht="12" customHeight="1">
      <c r="A106" s="194" t="s">
        <v>82</v>
      </c>
      <c r="B106" s="60" t="s">
        <v>265</v>
      </c>
      <c r="C106" s="166"/>
      <c r="D106" s="252"/>
      <c r="E106" s="103"/>
    </row>
    <row r="107" spans="1:5" ht="12" customHeight="1">
      <c r="A107" s="194" t="s">
        <v>127</v>
      </c>
      <c r="B107" s="60" t="s">
        <v>266</v>
      </c>
      <c r="C107" s="166"/>
      <c r="D107" s="252"/>
      <c r="E107" s="103"/>
    </row>
    <row r="108" spans="1:5" ht="12" customHeight="1">
      <c r="A108" s="194" t="s">
        <v>260</v>
      </c>
      <c r="B108" s="61" t="s">
        <v>267</v>
      </c>
      <c r="C108" s="164"/>
      <c r="D108" s="252"/>
      <c r="E108" s="103"/>
    </row>
    <row r="109" spans="1:5" ht="12" customHeight="1">
      <c r="A109" s="202" t="s">
        <v>261</v>
      </c>
      <c r="B109" s="62" t="s">
        <v>268</v>
      </c>
      <c r="C109" s="166"/>
      <c r="D109" s="252"/>
      <c r="E109" s="103"/>
    </row>
    <row r="110" spans="1:5" ht="12" customHeight="1">
      <c r="A110" s="194" t="s">
        <v>341</v>
      </c>
      <c r="B110" s="62" t="s">
        <v>269</v>
      </c>
      <c r="C110" s="166"/>
      <c r="D110" s="252"/>
      <c r="E110" s="103"/>
    </row>
    <row r="111" spans="1:5" ht="12" customHeight="1">
      <c r="A111" s="194" t="s">
        <v>342</v>
      </c>
      <c r="B111" s="61" t="s">
        <v>270</v>
      </c>
      <c r="C111" s="164">
        <v>1630000</v>
      </c>
      <c r="D111" s="251">
        <v>1680000</v>
      </c>
      <c r="E111" s="101">
        <v>1670000</v>
      </c>
    </row>
    <row r="112" spans="1:5" ht="12" customHeight="1">
      <c r="A112" s="194" t="s">
        <v>346</v>
      </c>
      <c r="B112" s="9" t="s">
        <v>36</v>
      </c>
      <c r="C112" s="164"/>
      <c r="D112" s="251"/>
      <c r="E112" s="101"/>
    </row>
    <row r="113" spans="1:5" ht="12" customHeight="1">
      <c r="A113" s="195" t="s">
        <v>347</v>
      </c>
      <c r="B113" s="6" t="s">
        <v>401</v>
      </c>
      <c r="C113" s="166"/>
      <c r="D113" s="252"/>
      <c r="E113" s="103"/>
    </row>
    <row r="114" spans="1:5" ht="12" customHeight="1" thickBot="1">
      <c r="A114" s="203" t="s">
        <v>348</v>
      </c>
      <c r="B114" s="63" t="s">
        <v>402</v>
      </c>
      <c r="C114" s="240"/>
      <c r="D114" s="313"/>
      <c r="E114" s="234"/>
    </row>
    <row r="115" spans="1:5" ht="12" customHeight="1" thickBot="1">
      <c r="A115" s="24" t="s">
        <v>7</v>
      </c>
      <c r="B115" s="22" t="s">
        <v>271</v>
      </c>
      <c r="C115" s="163">
        <f>+C116+C118+C120</f>
        <v>0</v>
      </c>
      <c r="D115" s="249">
        <f>+D116+D118+D120</f>
        <v>0</v>
      </c>
      <c r="E115" s="100">
        <f>+E116+E118+E120</f>
        <v>0</v>
      </c>
    </row>
    <row r="116" spans="1:5" ht="12" customHeight="1">
      <c r="A116" s="193" t="s">
        <v>70</v>
      </c>
      <c r="B116" s="6" t="s">
        <v>145</v>
      </c>
      <c r="C116" s="165"/>
      <c r="D116" s="250"/>
      <c r="E116" s="102"/>
    </row>
    <row r="117" spans="1:5" ht="12" customHeight="1">
      <c r="A117" s="193" t="s">
        <v>71</v>
      </c>
      <c r="B117" s="10" t="s">
        <v>275</v>
      </c>
      <c r="C117" s="165"/>
      <c r="D117" s="250"/>
      <c r="E117" s="102"/>
    </row>
    <row r="118" spans="1:5" ht="12" customHeight="1">
      <c r="A118" s="193" t="s">
        <v>72</v>
      </c>
      <c r="B118" s="10" t="s">
        <v>128</v>
      </c>
      <c r="C118" s="164"/>
      <c r="D118" s="251"/>
      <c r="E118" s="101"/>
    </row>
    <row r="119" spans="1:5" ht="12" customHeight="1">
      <c r="A119" s="193" t="s">
        <v>73</v>
      </c>
      <c r="B119" s="10" t="s">
        <v>276</v>
      </c>
      <c r="C119" s="164"/>
      <c r="D119" s="251"/>
      <c r="E119" s="101"/>
    </row>
    <row r="120" spans="1:5" ht="12" customHeight="1">
      <c r="A120" s="193" t="s">
        <v>74</v>
      </c>
      <c r="B120" s="109" t="s">
        <v>147</v>
      </c>
      <c r="C120" s="164"/>
      <c r="D120" s="251"/>
      <c r="E120" s="101"/>
    </row>
    <row r="121" spans="1:5" ht="12" customHeight="1">
      <c r="A121" s="193" t="s">
        <v>81</v>
      </c>
      <c r="B121" s="108" t="s">
        <v>334</v>
      </c>
      <c r="C121" s="164"/>
      <c r="D121" s="251"/>
      <c r="E121" s="101"/>
    </row>
    <row r="122" spans="1:5" ht="12" customHeight="1">
      <c r="A122" s="193" t="s">
        <v>83</v>
      </c>
      <c r="B122" s="172" t="s">
        <v>281</v>
      </c>
      <c r="C122" s="164"/>
      <c r="D122" s="251"/>
      <c r="E122" s="101"/>
    </row>
    <row r="123" spans="1:5" ht="12" customHeight="1">
      <c r="A123" s="193" t="s">
        <v>129</v>
      </c>
      <c r="B123" s="61" t="s">
        <v>264</v>
      </c>
      <c r="C123" s="164"/>
      <c r="D123" s="251"/>
      <c r="E123" s="101"/>
    </row>
    <row r="124" spans="1:5" ht="12" customHeight="1">
      <c r="A124" s="193" t="s">
        <v>130</v>
      </c>
      <c r="B124" s="61" t="s">
        <v>280</v>
      </c>
      <c r="C124" s="164"/>
      <c r="D124" s="251"/>
      <c r="E124" s="101"/>
    </row>
    <row r="125" spans="1:5" ht="12" customHeight="1">
      <c r="A125" s="193" t="s">
        <v>131</v>
      </c>
      <c r="B125" s="61" t="s">
        <v>279</v>
      </c>
      <c r="C125" s="164"/>
      <c r="D125" s="251"/>
      <c r="E125" s="101"/>
    </row>
    <row r="126" spans="1:5" ht="12" customHeight="1">
      <c r="A126" s="193" t="s">
        <v>272</v>
      </c>
      <c r="B126" s="61" t="s">
        <v>267</v>
      </c>
      <c r="C126" s="164"/>
      <c r="D126" s="251"/>
      <c r="E126" s="101"/>
    </row>
    <row r="127" spans="1:5" ht="12" customHeight="1">
      <c r="A127" s="193" t="s">
        <v>273</v>
      </c>
      <c r="B127" s="61" t="s">
        <v>278</v>
      </c>
      <c r="C127" s="164"/>
      <c r="D127" s="251"/>
      <c r="E127" s="101"/>
    </row>
    <row r="128" spans="1:5" ht="12" customHeight="1" thickBot="1">
      <c r="A128" s="202" t="s">
        <v>274</v>
      </c>
      <c r="B128" s="61" t="s">
        <v>277</v>
      </c>
      <c r="C128" s="166"/>
      <c r="D128" s="252"/>
      <c r="E128" s="103"/>
    </row>
    <row r="129" spans="1:5" ht="12" customHeight="1" thickBot="1">
      <c r="A129" s="24" t="s">
        <v>8</v>
      </c>
      <c r="B129" s="56" t="s">
        <v>351</v>
      </c>
      <c r="C129" s="163">
        <f>+C94+C115</f>
        <v>1630000</v>
      </c>
      <c r="D129" s="249">
        <f>+D94+D115</f>
        <v>1680000</v>
      </c>
      <c r="E129" s="100">
        <f>+E94+E115</f>
        <v>1670000</v>
      </c>
    </row>
    <row r="130" spans="1:5" ht="12" customHeight="1" thickBot="1">
      <c r="A130" s="24" t="s">
        <v>9</v>
      </c>
      <c r="B130" s="56" t="s">
        <v>352</v>
      </c>
      <c r="C130" s="163">
        <f>+C131+C132+C133</f>
        <v>0</v>
      </c>
      <c r="D130" s="249">
        <f>+D131+D132+D133</f>
        <v>0</v>
      </c>
      <c r="E130" s="100">
        <f>+E131+E132+E133</f>
        <v>0</v>
      </c>
    </row>
    <row r="131" spans="1:5" s="52" customFormat="1" ht="12" customHeight="1">
      <c r="A131" s="193" t="s">
        <v>179</v>
      </c>
      <c r="B131" s="7" t="s">
        <v>406</v>
      </c>
      <c r="C131" s="164"/>
      <c r="D131" s="251"/>
      <c r="E131" s="101"/>
    </row>
    <row r="132" spans="1:5" ht="12" customHeight="1">
      <c r="A132" s="193" t="s">
        <v>180</v>
      </c>
      <c r="B132" s="7" t="s">
        <v>360</v>
      </c>
      <c r="C132" s="164"/>
      <c r="D132" s="251"/>
      <c r="E132" s="101"/>
    </row>
    <row r="133" spans="1:5" ht="12" customHeight="1" thickBot="1">
      <c r="A133" s="202" t="s">
        <v>181</v>
      </c>
      <c r="B133" s="5" t="s">
        <v>405</v>
      </c>
      <c r="C133" s="164"/>
      <c r="D133" s="251"/>
      <c r="E133" s="101"/>
    </row>
    <row r="134" spans="1:5" ht="12" customHeight="1" thickBot="1">
      <c r="A134" s="24" t="s">
        <v>10</v>
      </c>
      <c r="B134" s="56" t="s">
        <v>353</v>
      </c>
      <c r="C134" s="163">
        <f>+C135+C136+C137+C138+C139+C140</f>
        <v>0</v>
      </c>
      <c r="D134" s="249">
        <f>+D135+D136+D137+D138+D139+D140</f>
        <v>0</v>
      </c>
      <c r="E134" s="100">
        <f>+E135+E136+E137+E138+E139+E140</f>
        <v>0</v>
      </c>
    </row>
    <row r="135" spans="1:5" ht="12" customHeight="1">
      <c r="A135" s="193" t="s">
        <v>57</v>
      </c>
      <c r="B135" s="7" t="s">
        <v>362</v>
      </c>
      <c r="C135" s="164"/>
      <c r="D135" s="251"/>
      <c r="E135" s="101"/>
    </row>
    <row r="136" spans="1:5" ht="12" customHeight="1">
      <c r="A136" s="193" t="s">
        <v>58</v>
      </c>
      <c r="B136" s="7" t="s">
        <v>354</v>
      </c>
      <c r="C136" s="164"/>
      <c r="D136" s="251"/>
      <c r="E136" s="101"/>
    </row>
    <row r="137" spans="1:5" ht="12" customHeight="1">
      <c r="A137" s="193" t="s">
        <v>59</v>
      </c>
      <c r="B137" s="7" t="s">
        <v>355</v>
      </c>
      <c r="C137" s="164"/>
      <c r="D137" s="251"/>
      <c r="E137" s="101"/>
    </row>
    <row r="138" spans="1:5" ht="12" customHeight="1">
      <c r="A138" s="193" t="s">
        <v>116</v>
      </c>
      <c r="B138" s="7" t="s">
        <v>404</v>
      </c>
      <c r="C138" s="164"/>
      <c r="D138" s="251"/>
      <c r="E138" s="101"/>
    </row>
    <row r="139" spans="1:5" ht="12" customHeight="1">
      <c r="A139" s="193" t="s">
        <v>117</v>
      </c>
      <c r="B139" s="7" t="s">
        <v>357</v>
      </c>
      <c r="C139" s="164"/>
      <c r="D139" s="251"/>
      <c r="E139" s="101"/>
    </row>
    <row r="140" spans="1:5" s="52" customFormat="1" ht="12" customHeight="1" thickBot="1">
      <c r="A140" s="202" t="s">
        <v>118</v>
      </c>
      <c r="B140" s="5" t="s">
        <v>358</v>
      </c>
      <c r="C140" s="164"/>
      <c r="D140" s="251"/>
      <c r="E140" s="101"/>
    </row>
    <row r="141" spans="1:11" ht="12" customHeight="1" thickBot="1">
      <c r="A141" s="24" t="s">
        <v>11</v>
      </c>
      <c r="B141" s="56" t="s">
        <v>415</v>
      </c>
      <c r="C141" s="169">
        <f>+C142+C143+C145+C146+C144</f>
        <v>0</v>
      </c>
      <c r="D141" s="253">
        <f>+D142+D143+D145+D146+D144</f>
        <v>0</v>
      </c>
      <c r="E141" s="205">
        <f>+E142+E143+E145+E146+E144</f>
        <v>0</v>
      </c>
      <c r="K141" s="93"/>
    </row>
    <row r="142" spans="1:5" ht="12.75">
      <c r="A142" s="193" t="s">
        <v>60</v>
      </c>
      <c r="B142" s="7" t="s">
        <v>282</v>
      </c>
      <c r="C142" s="164"/>
      <c r="D142" s="251"/>
      <c r="E142" s="101"/>
    </row>
    <row r="143" spans="1:5" ht="12" customHeight="1">
      <c r="A143" s="193" t="s">
        <v>61</v>
      </c>
      <c r="B143" s="7" t="s">
        <v>283</v>
      </c>
      <c r="C143" s="164"/>
      <c r="D143" s="251"/>
      <c r="E143" s="101"/>
    </row>
    <row r="144" spans="1:5" ht="12" customHeight="1">
      <c r="A144" s="193" t="s">
        <v>199</v>
      </c>
      <c r="B144" s="7" t="s">
        <v>414</v>
      </c>
      <c r="C144" s="164"/>
      <c r="D144" s="251"/>
      <c r="E144" s="101"/>
    </row>
    <row r="145" spans="1:5" s="52" customFormat="1" ht="12" customHeight="1">
      <c r="A145" s="193" t="s">
        <v>200</v>
      </c>
      <c r="B145" s="7" t="s">
        <v>367</v>
      </c>
      <c r="C145" s="164"/>
      <c r="D145" s="251"/>
      <c r="E145" s="101"/>
    </row>
    <row r="146" spans="1:5" s="52" customFormat="1" ht="12" customHeight="1" thickBot="1">
      <c r="A146" s="202" t="s">
        <v>201</v>
      </c>
      <c r="B146" s="5" t="s">
        <v>299</v>
      </c>
      <c r="C146" s="164"/>
      <c r="D146" s="251"/>
      <c r="E146" s="101"/>
    </row>
    <row r="147" spans="1:5" s="52" customFormat="1" ht="12" customHeight="1" thickBot="1">
      <c r="A147" s="24" t="s">
        <v>12</v>
      </c>
      <c r="B147" s="56" t="s">
        <v>368</v>
      </c>
      <c r="C147" s="242">
        <f>+C148+C149+C150+C151+C152</f>
        <v>0</v>
      </c>
      <c r="D147" s="254">
        <f>+D148+D149+D150+D151+D152</f>
        <v>0</v>
      </c>
      <c r="E147" s="236">
        <f>+E148+E149+E150+E151+E152</f>
        <v>0</v>
      </c>
    </row>
    <row r="148" spans="1:5" s="52" customFormat="1" ht="12" customHeight="1">
      <c r="A148" s="193" t="s">
        <v>62</v>
      </c>
      <c r="B148" s="7" t="s">
        <v>363</v>
      </c>
      <c r="C148" s="164"/>
      <c r="D148" s="251"/>
      <c r="E148" s="101"/>
    </row>
    <row r="149" spans="1:5" s="52" customFormat="1" ht="12" customHeight="1">
      <c r="A149" s="193" t="s">
        <v>63</v>
      </c>
      <c r="B149" s="7" t="s">
        <v>370</v>
      </c>
      <c r="C149" s="164"/>
      <c r="D149" s="251"/>
      <c r="E149" s="101"/>
    </row>
    <row r="150" spans="1:5" s="52" customFormat="1" ht="12" customHeight="1">
      <c r="A150" s="193" t="s">
        <v>211</v>
      </c>
      <c r="B150" s="7" t="s">
        <v>365</v>
      </c>
      <c r="C150" s="164"/>
      <c r="D150" s="251"/>
      <c r="E150" s="101"/>
    </row>
    <row r="151" spans="1:5" s="52" customFormat="1" ht="12" customHeight="1">
      <c r="A151" s="193" t="s">
        <v>212</v>
      </c>
      <c r="B151" s="7" t="s">
        <v>407</v>
      </c>
      <c r="C151" s="164"/>
      <c r="D151" s="251"/>
      <c r="E151" s="101"/>
    </row>
    <row r="152" spans="1:5" ht="12.75" customHeight="1" thickBot="1">
      <c r="A152" s="202" t="s">
        <v>369</v>
      </c>
      <c r="B152" s="5" t="s">
        <v>372</v>
      </c>
      <c r="C152" s="166"/>
      <c r="D152" s="252"/>
      <c r="E152" s="103"/>
    </row>
    <row r="153" spans="1:5" ht="12.75" customHeight="1" thickBot="1">
      <c r="A153" s="231" t="s">
        <v>13</v>
      </c>
      <c r="B153" s="56" t="s">
        <v>373</v>
      </c>
      <c r="C153" s="242"/>
      <c r="D153" s="254"/>
      <c r="E153" s="236"/>
    </row>
    <row r="154" spans="1:5" ht="12.75" customHeight="1" thickBot="1">
      <c r="A154" s="231" t="s">
        <v>14</v>
      </c>
      <c r="B154" s="56" t="s">
        <v>374</v>
      </c>
      <c r="C154" s="242"/>
      <c r="D154" s="254"/>
      <c r="E154" s="236"/>
    </row>
    <row r="155" spans="1:5" ht="12" customHeight="1" thickBot="1">
      <c r="A155" s="24" t="s">
        <v>15</v>
      </c>
      <c r="B155" s="56" t="s">
        <v>376</v>
      </c>
      <c r="C155" s="244">
        <f>+C130+C134+C141+C147+C153+C154</f>
        <v>0</v>
      </c>
      <c r="D155" s="256">
        <f>+D130+D134+D141+D147+D153+D154</f>
        <v>0</v>
      </c>
      <c r="E155" s="238">
        <f>+E130+E134+E141+E147+E153+E154</f>
        <v>0</v>
      </c>
    </row>
    <row r="156" spans="1:5" ht="15" customHeight="1" thickBot="1">
      <c r="A156" s="204" t="s">
        <v>16</v>
      </c>
      <c r="B156" s="150" t="s">
        <v>375</v>
      </c>
      <c r="C156" s="244">
        <f>+C129+C155</f>
        <v>1630000</v>
      </c>
      <c r="D156" s="256">
        <f>+D129+D155</f>
        <v>1680000</v>
      </c>
      <c r="E156" s="238">
        <f>+E129+E155</f>
        <v>1670000</v>
      </c>
    </row>
    <row r="157" spans="1:5" ht="13.5" thickBot="1">
      <c r="A157" s="153"/>
      <c r="B157" s="154"/>
      <c r="C157" s="666"/>
      <c r="D157" s="666"/>
      <c r="E157" s="155"/>
    </row>
    <row r="158" spans="1:5" ht="15" customHeight="1" thickBot="1">
      <c r="A158" s="319" t="s">
        <v>490</v>
      </c>
      <c r="B158" s="320"/>
      <c r="C158" s="312">
        <v>0</v>
      </c>
      <c r="D158" s="312">
        <v>0</v>
      </c>
      <c r="E158" s="312">
        <v>0</v>
      </c>
    </row>
    <row r="159" spans="1:5" ht="14.25" customHeight="1" thickBot="1">
      <c r="A159" s="321" t="s">
        <v>491</v>
      </c>
      <c r="B159" s="322"/>
      <c r="C159" s="312">
        <v>0</v>
      </c>
      <c r="D159" s="312">
        <v>0</v>
      </c>
      <c r="E159" s="312">
        <v>0</v>
      </c>
    </row>
  </sheetData>
  <sheetProtection selectLockedCells="1" selectUnlockedCells="1"/>
  <mergeCells count="4">
    <mergeCell ref="B2:D2"/>
    <mergeCell ref="B3:D3"/>
    <mergeCell ref="A7:E7"/>
    <mergeCell ref="A93:E9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0" max="255" man="1"/>
    <brk id="9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45">
      <selection activeCell="E59" sqref="E59"/>
    </sheetView>
  </sheetViews>
  <sheetFormatPr defaultColWidth="9.00390625" defaultRowHeight="12.75"/>
  <cols>
    <col min="1" max="1" width="13.00390625" style="89" customWidth="1"/>
    <col min="2" max="2" width="59.00390625" style="90" customWidth="1"/>
    <col min="3" max="5" width="15.875" style="90" customWidth="1"/>
    <col min="6" max="16384" width="9.375" style="90" customWidth="1"/>
  </cols>
  <sheetData>
    <row r="1" spans="1:5" s="80" customFormat="1" ht="16.5" thickBot="1">
      <c r="A1" s="345"/>
      <c r="B1" s="876" t="str">
        <f>CONCATENATE("6.2. melléklet ",Z_ALAPADATOK!A7," ",Z_ALAPADATOK!B7," ",Z_ALAPADATOK!C7," ",Z_ALAPADATOK!D7," ",Z_ALAPADATOK!E7," ",Z_ALAPADATOK!F7," ",Z_ALAPADATOK!G7," ",Z_ALAPADATOK!H7)</f>
        <v>6.2. melléklet a 12 / 2020. ( VII.16. ) önkormányzati rendelethez</v>
      </c>
      <c r="C1" s="877"/>
      <c r="D1" s="877"/>
      <c r="E1" s="877"/>
    </row>
    <row r="2" spans="1:5" s="211" customFormat="1" ht="24.75" thickBot="1">
      <c r="A2" s="346" t="s">
        <v>458</v>
      </c>
      <c r="B2" s="878" t="s">
        <v>877</v>
      </c>
      <c r="C2" s="879"/>
      <c r="D2" s="880"/>
      <c r="E2" s="347" t="s">
        <v>43</v>
      </c>
    </row>
    <row r="3" spans="1:5" s="211" customFormat="1" ht="24.75" thickBot="1">
      <c r="A3" s="346" t="s">
        <v>137</v>
      </c>
      <c r="B3" s="878" t="s">
        <v>307</v>
      </c>
      <c r="C3" s="879"/>
      <c r="D3" s="880"/>
      <c r="E3" s="347" t="s">
        <v>39</v>
      </c>
    </row>
    <row r="4" spans="1:5" s="212" customFormat="1" ht="15.75" customHeight="1" thickBot="1">
      <c r="A4" s="348"/>
      <c r="B4" s="348"/>
      <c r="C4" s="349"/>
      <c r="D4" s="350"/>
      <c r="E4" s="349" t="e">
        <f>#REF!</f>
        <v>#REF!</v>
      </c>
    </row>
    <row r="5" spans="1:5" ht="24.75" thickBot="1">
      <c r="A5" s="351" t="s">
        <v>138</v>
      </c>
      <c r="B5" s="352" t="s">
        <v>489</v>
      </c>
      <c r="C5" s="352" t="s">
        <v>454</v>
      </c>
      <c r="D5" s="353" t="s">
        <v>455</v>
      </c>
      <c r="E5" s="334" t="str">
        <f>+CONCATENATE("Teljesítés",CHAR(10),LEFT(Z_ÖSSZEFÜGGÉSEK!A6,4),". XII. 31.")</f>
        <v>Teljesítés
2019. XII. 31.</v>
      </c>
    </row>
    <row r="6" spans="1:5" s="213" customFormat="1" ht="12.75" customHeight="1" thickBot="1">
      <c r="A6" s="384" t="s">
        <v>387</v>
      </c>
      <c r="B6" s="385" t="s">
        <v>388</v>
      </c>
      <c r="C6" s="385" t="s">
        <v>389</v>
      </c>
      <c r="D6" s="386" t="s">
        <v>391</v>
      </c>
      <c r="E6" s="387" t="s">
        <v>390</v>
      </c>
    </row>
    <row r="7" spans="1:5" s="213" customFormat="1" ht="15.75" customHeight="1" thickBot="1">
      <c r="A7" s="872" t="s">
        <v>40</v>
      </c>
      <c r="B7" s="873"/>
      <c r="C7" s="873"/>
      <c r="D7" s="873"/>
      <c r="E7" s="874"/>
    </row>
    <row r="8" spans="1:5" s="149" customFormat="1" ht="12" customHeight="1" thickBot="1">
      <c r="A8" s="72" t="s">
        <v>6</v>
      </c>
      <c r="B8" s="81" t="s">
        <v>408</v>
      </c>
      <c r="C8" s="117">
        <f>SUM(C9:C19)</f>
        <v>300000</v>
      </c>
      <c r="D8" s="117">
        <f>SUM(D9:D19)</f>
        <v>300000</v>
      </c>
      <c r="E8" s="144">
        <f>SUM(E9:E19)</f>
        <v>165756</v>
      </c>
    </row>
    <row r="9" spans="1:5" s="149" customFormat="1" ht="12" customHeight="1">
      <c r="A9" s="206" t="s">
        <v>64</v>
      </c>
      <c r="B9" s="8" t="s">
        <v>188</v>
      </c>
      <c r="C9" s="268"/>
      <c r="D9" s="268"/>
      <c r="E9" s="314"/>
    </row>
    <row r="10" spans="1:5" s="149" customFormat="1" ht="12" customHeight="1">
      <c r="A10" s="207" t="s">
        <v>65</v>
      </c>
      <c r="B10" s="6" t="s">
        <v>189</v>
      </c>
      <c r="C10" s="114">
        <v>70000</v>
      </c>
      <c r="D10" s="114">
        <v>70000</v>
      </c>
      <c r="E10" s="260">
        <v>58000</v>
      </c>
    </row>
    <row r="11" spans="1:5" s="149" customFormat="1" ht="12" customHeight="1">
      <c r="A11" s="207" t="s">
        <v>66</v>
      </c>
      <c r="B11" s="6" t="s">
        <v>190</v>
      </c>
      <c r="C11" s="114">
        <v>230000</v>
      </c>
      <c r="D11" s="114">
        <v>230000</v>
      </c>
      <c r="E11" s="260">
        <v>101974</v>
      </c>
    </row>
    <row r="12" spans="1:5" s="149" customFormat="1" ht="12" customHeight="1">
      <c r="A12" s="207" t="s">
        <v>67</v>
      </c>
      <c r="B12" s="6" t="s">
        <v>191</v>
      </c>
      <c r="C12" s="114"/>
      <c r="D12" s="114"/>
      <c r="E12" s="260"/>
    </row>
    <row r="13" spans="1:5" s="149" customFormat="1" ht="12" customHeight="1">
      <c r="A13" s="207" t="s">
        <v>99</v>
      </c>
      <c r="B13" s="6" t="s">
        <v>192</v>
      </c>
      <c r="C13" s="114"/>
      <c r="D13" s="114"/>
      <c r="E13" s="260"/>
    </row>
    <row r="14" spans="1:5" s="149" customFormat="1" ht="12" customHeight="1">
      <c r="A14" s="207" t="s">
        <v>68</v>
      </c>
      <c r="B14" s="6" t="s">
        <v>308</v>
      </c>
      <c r="C14" s="114"/>
      <c r="D14" s="114"/>
      <c r="E14" s="260"/>
    </row>
    <row r="15" spans="1:5" s="149" customFormat="1" ht="12" customHeight="1">
      <c r="A15" s="207" t="s">
        <v>69</v>
      </c>
      <c r="B15" s="5" t="s">
        <v>309</v>
      </c>
      <c r="C15" s="114"/>
      <c r="D15" s="114"/>
      <c r="E15" s="260"/>
    </row>
    <row r="16" spans="1:5" s="149" customFormat="1" ht="12" customHeight="1">
      <c r="A16" s="207" t="s">
        <v>77</v>
      </c>
      <c r="B16" s="6" t="s">
        <v>195</v>
      </c>
      <c r="C16" s="266"/>
      <c r="D16" s="266"/>
      <c r="E16" s="264">
        <v>1</v>
      </c>
    </row>
    <row r="17" spans="1:5" s="214" customFormat="1" ht="12" customHeight="1">
      <c r="A17" s="207" t="s">
        <v>78</v>
      </c>
      <c r="B17" s="6" t="s">
        <v>196</v>
      </c>
      <c r="C17" s="114"/>
      <c r="D17" s="114"/>
      <c r="E17" s="260"/>
    </row>
    <row r="18" spans="1:5" s="214" customFormat="1" ht="12" customHeight="1">
      <c r="A18" s="207" t="s">
        <v>79</v>
      </c>
      <c r="B18" s="6" t="s">
        <v>339</v>
      </c>
      <c r="C18" s="116"/>
      <c r="D18" s="116"/>
      <c r="E18" s="261"/>
    </row>
    <row r="19" spans="1:5" s="214" customFormat="1" ht="12" customHeight="1" thickBot="1">
      <c r="A19" s="207" t="s">
        <v>80</v>
      </c>
      <c r="B19" s="5" t="s">
        <v>197</v>
      </c>
      <c r="C19" s="116"/>
      <c r="D19" s="116"/>
      <c r="E19" s="261">
        <v>5781</v>
      </c>
    </row>
    <row r="20" spans="1:5" s="149" customFormat="1" ht="12" customHeight="1" thickBot="1">
      <c r="A20" s="72" t="s">
        <v>7</v>
      </c>
      <c r="B20" s="81" t="s">
        <v>310</v>
      </c>
      <c r="C20" s="117">
        <f>SUM(C21:C23)</f>
        <v>800000</v>
      </c>
      <c r="D20" s="117">
        <f>SUM(D21:D23)</f>
        <v>6576911</v>
      </c>
      <c r="E20" s="144">
        <f>SUM(E21:E23)</f>
        <v>6576911</v>
      </c>
    </row>
    <row r="21" spans="1:5" s="214" customFormat="1" ht="12" customHeight="1">
      <c r="A21" s="207" t="s">
        <v>70</v>
      </c>
      <c r="B21" s="7" t="s">
        <v>170</v>
      </c>
      <c r="C21" s="114"/>
      <c r="D21" s="114"/>
      <c r="E21" s="260"/>
    </row>
    <row r="22" spans="1:5" s="214" customFormat="1" ht="12" customHeight="1">
      <c r="A22" s="207" t="s">
        <v>71</v>
      </c>
      <c r="B22" s="6" t="s">
        <v>311</v>
      </c>
      <c r="C22" s="114"/>
      <c r="D22" s="114"/>
      <c r="E22" s="260"/>
    </row>
    <row r="23" spans="1:5" s="214" customFormat="1" ht="12" customHeight="1">
      <c r="A23" s="207" t="s">
        <v>72</v>
      </c>
      <c r="B23" s="6" t="s">
        <v>312</v>
      </c>
      <c r="C23" s="114">
        <v>800000</v>
      </c>
      <c r="D23" s="114">
        <v>6576911</v>
      </c>
      <c r="E23" s="260">
        <v>6576911</v>
      </c>
    </row>
    <row r="24" spans="1:5" s="214" customFormat="1" ht="12" customHeight="1" thickBot="1">
      <c r="A24" s="207" t="s">
        <v>73</v>
      </c>
      <c r="B24" s="6" t="s">
        <v>409</v>
      </c>
      <c r="C24" s="114"/>
      <c r="D24" s="114"/>
      <c r="E24" s="260"/>
    </row>
    <row r="25" spans="1:5" s="214" customFormat="1" ht="12" customHeight="1" thickBot="1">
      <c r="A25" s="76" t="s">
        <v>8</v>
      </c>
      <c r="B25" s="56" t="s">
        <v>115</v>
      </c>
      <c r="C25" s="316"/>
      <c r="D25" s="316"/>
      <c r="E25" s="143"/>
    </row>
    <row r="26" spans="1:5" s="214" customFormat="1" ht="12" customHeight="1" thickBot="1">
      <c r="A26" s="76" t="s">
        <v>9</v>
      </c>
      <c r="B26" s="56" t="s">
        <v>410</v>
      </c>
      <c r="C26" s="117">
        <f>+C27+C28+C29</f>
        <v>0</v>
      </c>
      <c r="D26" s="117">
        <f>+D27+D28+D29</f>
        <v>0</v>
      </c>
      <c r="E26" s="144">
        <f>+E27+E28+E29</f>
        <v>0</v>
      </c>
    </row>
    <row r="27" spans="1:5" s="214" customFormat="1" ht="12" customHeight="1">
      <c r="A27" s="208" t="s">
        <v>179</v>
      </c>
      <c r="B27" s="209" t="s">
        <v>175</v>
      </c>
      <c r="C27" s="267"/>
      <c r="D27" s="267"/>
      <c r="E27" s="265"/>
    </row>
    <row r="28" spans="1:5" s="214" customFormat="1" ht="12" customHeight="1">
      <c r="A28" s="208" t="s">
        <v>180</v>
      </c>
      <c r="B28" s="209" t="s">
        <v>311</v>
      </c>
      <c r="C28" s="114"/>
      <c r="D28" s="114"/>
      <c r="E28" s="260"/>
    </row>
    <row r="29" spans="1:5" s="214" customFormat="1" ht="12" customHeight="1">
      <c r="A29" s="208" t="s">
        <v>181</v>
      </c>
      <c r="B29" s="210" t="s">
        <v>313</v>
      </c>
      <c r="C29" s="114"/>
      <c r="D29" s="114"/>
      <c r="E29" s="260"/>
    </row>
    <row r="30" spans="1:5" s="214" customFormat="1" ht="12" customHeight="1" thickBot="1">
      <c r="A30" s="207" t="s">
        <v>182</v>
      </c>
      <c r="B30" s="59" t="s">
        <v>411</v>
      </c>
      <c r="C30" s="47"/>
      <c r="D30" s="47"/>
      <c r="E30" s="315"/>
    </row>
    <row r="31" spans="1:5" s="214" customFormat="1" ht="12" customHeight="1" thickBot="1">
      <c r="A31" s="76" t="s">
        <v>10</v>
      </c>
      <c r="B31" s="56" t="s">
        <v>314</v>
      </c>
      <c r="C31" s="117">
        <f>+C32+C33+C34</f>
        <v>0</v>
      </c>
      <c r="D31" s="117">
        <f>+D32+D33+D34</f>
        <v>0</v>
      </c>
      <c r="E31" s="144">
        <f>+E32+E33+E34</f>
        <v>0</v>
      </c>
    </row>
    <row r="32" spans="1:5" s="214" customFormat="1" ht="12" customHeight="1">
      <c r="A32" s="208" t="s">
        <v>57</v>
      </c>
      <c r="B32" s="209" t="s">
        <v>202</v>
      </c>
      <c r="C32" s="267"/>
      <c r="D32" s="267"/>
      <c r="E32" s="265"/>
    </row>
    <row r="33" spans="1:5" s="214" customFormat="1" ht="12" customHeight="1">
      <c r="A33" s="208" t="s">
        <v>58</v>
      </c>
      <c r="B33" s="210" t="s">
        <v>203</v>
      </c>
      <c r="C33" s="118"/>
      <c r="D33" s="118"/>
      <c r="E33" s="262"/>
    </row>
    <row r="34" spans="1:5" s="214" customFormat="1" ht="12" customHeight="1" thickBot="1">
      <c r="A34" s="207" t="s">
        <v>59</v>
      </c>
      <c r="B34" s="59" t="s">
        <v>204</v>
      </c>
      <c r="C34" s="47"/>
      <c r="D34" s="47"/>
      <c r="E34" s="315"/>
    </row>
    <row r="35" spans="1:5" s="149" customFormat="1" ht="12" customHeight="1" thickBot="1">
      <c r="A35" s="76" t="s">
        <v>11</v>
      </c>
      <c r="B35" s="56" t="s">
        <v>287</v>
      </c>
      <c r="C35" s="316"/>
      <c r="D35" s="316"/>
      <c r="E35" s="143"/>
    </row>
    <row r="36" spans="1:5" s="149" customFormat="1" ht="12" customHeight="1" thickBot="1">
      <c r="A36" s="76" t="s">
        <v>12</v>
      </c>
      <c r="B36" s="56" t="s">
        <v>315</v>
      </c>
      <c r="C36" s="316"/>
      <c r="D36" s="316"/>
      <c r="E36" s="143"/>
    </row>
    <row r="37" spans="1:5" s="149" customFormat="1" ht="12" customHeight="1" thickBot="1">
      <c r="A37" s="72" t="s">
        <v>13</v>
      </c>
      <c r="B37" s="56" t="s">
        <v>316</v>
      </c>
      <c r="C37" s="117">
        <f>+C8+C20+C25+C26+C31+C35+C36</f>
        <v>1100000</v>
      </c>
      <c r="D37" s="117">
        <f>+D8+D20+D25+D26+D31+D35+D36</f>
        <v>6876911</v>
      </c>
      <c r="E37" s="144">
        <f>+E8+E20+E25+E26+E31+E35+E36</f>
        <v>6742667</v>
      </c>
    </row>
    <row r="38" spans="1:5" s="149" customFormat="1" ht="12" customHeight="1" thickBot="1">
      <c r="A38" s="82" t="s">
        <v>14</v>
      </c>
      <c r="B38" s="56" t="s">
        <v>317</v>
      </c>
      <c r="C38" s="117">
        <f>+C39+C40+C41</f>
        <v>51343239</v>
      </c>
      <c r="D38" s="117">
        <f>+D39+D40+D41</f>
        <v>53139239</v>
      </c>
      <c r="E38" s="144">
        <f>+E39+E40+E41</f>
        <v>53138764</v>
      </c>
    </row>
    <row r="39" spans="1:5" s="149" customFormat="1" ht="12" customHeight="1">
      <c r="A39" s="208" t="s">
        <v>318</v>
      </c>
      <c r="B39" s="209" t="s">
        <v>152</v>
      </c>
      <c r="C39" s="267">
        <v>2054239</v>
      </c>
      <c r="D39" s="267">
        <v>2054239</v>
      </c>
      <c r="E39" s="265">
        <v>2054239</v>
      </c>
    </row>
    <row r="40" spans="1:5" s="149" customFormat="1" ht="12" customHeight="1">
      <c r="A40" s="208" t="s">
        <v>319</v>
      </c>
      <c r="B40" s="210" t="s">
        <v>0</v>
      </c>
      <c r="C40" s="118"/>
      <c r="D40" s="118"/>
      <c r="E40" s="262"/>
    </row>
    <row r="41" spans="1:5" s="214" customFormat="1" ht="12" customHeight="1" thickBot="1">
      <c r="A41" s="207" t="s">
        <v>320</v>
      </c>
      <c r="B41" s="59" t="s">
        <v>321</v>
      </c>
      <c r="C41" s="47">
        <v>49289000</v>
      </c>
      <c r="D41" s="47">
        <v>51085000</v>
      </c>
      <c r="E41" s="315">
        <v>51084525</v>
      </c>
    </row>
    <row r="42" spans="1:5" s="214" customFormat="1" ht="15" customHeight="1" thickBot="1">
      <c r="A42" s="82" t="s">
        <v>15</v>
      </c>
      <c r="B42" s="83" t="s">
        <v>322</v>
      </c>
      <c r="C42" s="317">
        <f>+C37+C38</f>
        <v>52443239</v>
      </c>
      <c r="D42" s="317">
        <f>+D37+D38</f>
        <v>60016150</v>
      </c>
      <c r="E42" s="147">
        <f>+E37+E38</f>
        <v>59881431</v>
      </c>
    </row>
    <row r="43" spans="1:3" s="214" customFormat="1" ht="15" customHeight="1">
      <c r="A43" s="84"/>
      <c r="B43" s="85"/>
      <c r="C43" s="145"/>
    </row>
    <row r="44" spans="1:3" ht="13.5" thickBot="1">
      <c r="A44" s="86"/>
      <c r="B44" s="87"/>
      <c r="C44" s="146"/>
    </row>
    <row r="45" spans="1:5" s="213" customFormat="1" ht="16.5" customHeight="1" thickBot="1">
      <c r="A45" s="872" t="s">
        <v>41</v>
      </c>
      <c r="B45" s="873"/>
      <c r="C45" s="873"/>
      <c r="D45" s="873"/>
      <c r="E45" s="874"/>
    </row>
    <row r="46" spans="1:5" s="215" customFormat="1" ht="12" customHeight="1" thickBot="1">
      <c r="A46" s="76" t="s">
        <v>6</v>
      </c>
      <c r="B46" s="56" t="s">
        <v>323</v>
      </c>
      <c r="C46" s="117">
        <f>SUM(C47:C51)</f>
        <v>52062239</v>
      </c>
      <c r="D46" s="117">
        <f>SUM(D47:D51)</f>
        <v>59635150</v>
      </c>
      <c r="E46" s="144">
        <f>SUM(E47:E51)</f>
        <v>55808441</v>
      </c>
    </row>
    <row r="47" spans="1:5" ht="12" customHeight="1">
      <c r="A47" s="207" t="s">
        <v>64</v>
      </c>
      <c r="B47" s="7" t="s">
        <v>35</v>
      </c>
      <c r="C47" s="267">
        <v>34080000</v>
      </c>
      <c r="D47" s="267">
        <v>39080000</v>
      </c>
      <c r="E47" s="265">
        <v>38532171</v>
      </c>
    </row>
    <row r="48" spans="1:5" ht="12" customHeight="1">
      <c r="A48" s="207" t="s">
        <v>65</v>
      </c>
      <c r="B48" s="6" t="s">
        <v>124</v>
      </c>
      <c r="C48" s="46">
        <v>7040000</v>
      </c>
      <c r="D48" s="46">
        <v>7710000</v>
      </c>
      <c r="E48" s="263">
        <v>7623241</v>
      </c>
    </row>
    <row r="49" spans="1:5" ht="12" customHeight="1">
      <c r="A49" s="207" t="s">
        <v>66</v>
      </c>
      <c r="B49" s="6" t="s">
        <v>92</v>
      </c>
      <c r="C49" s="46">
        <v>10942239</v>
      </c>
      <c r="D49" s="46">
        <v>12845150</v>
      </c>
      <c r="E49" s="263">
        <v>9653029</v>
      </c>
    </row>
    <row r="50" spans="1:5" ht="12" customHeight="1">
      <c r="A50" s="207" t="s">
        <v>67</v>
      </c>
      <c r="B50" s="6" t="s">
        <v>125</v>
      </c>
      <c r="C50" s="46"/>
      <c r="D50" s="46"/>
      <c r="E50" s="263"/>
    </row>
    <row r="51" spans="1:5" ht="12" customHeight="1" thickBot="1">
      <c r="A51" s="207" t="s">
        <v>99</v>
      </c>
      <c r="B51" s="6" t="s">
        <v>126</v>
      </c>
      <c r="C51" s="46"/>
      <c r="D51" s="46"/>
      <c r="E51" s="263"/>
    </row>
    <row r="52" spans="1:5" ht="12" customHeight="1" thickBot="1">
      <c r="A52" s="76" t="s">
        <v>7</v>
      </c>
      <c r="B52" s="56" t="s">
        <v>324</v>
      </c>
      <c r="C52" s="117">
        <f>SUM(C53:C55)</f>
        <v>381000</v>
      </c>
      <c r="D52" s="117">
        <f>SUM(D53:D55)</f>
        <v>381000</v>
      </c>
      <c r="E52" s="144">
        <f>SUM(E53:E55)</f>
        <v>309580</v>
      </c>
    </row>
    <row r="53" spans="1:5" s="215" customFormat="1" ht="12" customHeight="1">
      <c r="A53" s="207" t="s">
        <v>70</v>
      </c>
      <c r="B53" s="7" t="s">
        <v>145</v>
      </c>
      <c r="C53" s="267">
        <v>381000</v>
      </c>
      <c r="D53" s="267">
        <v>381000</v>
      </c>
      <c r="E53" s="265">
        <v>309580</v>
      </c>
    </row>
    <row r="54" spans="1:5" ht="12" customHeight="1">
      <c r="A54" s="207" t="s">
        <v>71</v>
      </c>
      <c r="B54" s="6" t="s">
        <v>128</v>
      </c>
      <c r="C54" s="46"/>
      <c r="D54" s="46"/>
      <c r="E54" s="263"/>
    </row>
    <row r="55" spans="1:5" ht="12" customHeight="1">
      <c r="A55" s="207" t="s">
        <v>72</v>
      </c>
      <c r="B55" s="6" t="s">
        <v>42</v>
      </c>
      <c r="C55" s="46"/>
      <c r="D55" s="46"/>
      <c r="E55" s="263"/>
    </row>
    <row r="56" spans="1:5" ht="12" customHeight="1" thickBot="1">
      <c r="A56" s="207" t="s">
        <v>73</v>
      </c>
      <c r="B56" s="6" t="s">
        <v>412</v>
      </c>
      <c r="C56" s="46"/>
      <c r="D56" s="46"/>
      <c r="E56" s="263"/>
    </row>
    <row r="57" spans="1:5" ht="12" customHeight="1" thickBot="1">
      <c r="A57" s="76" t="s">
        <v>8</v>
      </c>
      <c r="B57" s="56" t="s">
        <v>2</v>
      </c>
      <c r="C57" s="316"/>
      <c r="D57" s="316"/>
      <c r="E57" s="143"/>
    </row>
    <row r="58" spans="1:5" ht="15" customHeight="1" thickBot="1">
      <c r="A58" s="76" t="s">
        <v>9</v>
      </c>
      <c r="B58" s="88" t="s">
        <v>413</v>
      </c>
      <c r="C58" s="317">
        <f>+C46+C52+C57</f>
        <v>52443239</v>
      </c>
      <c r="D58" s="317">
        <f>+D46+D52+D57</f>
        <v>60016150</v>
      </c>
      <c r="E58" s="147">
        <f>+E46+E52+E57</f>
        <v>56118021</v>
      </c>
    </row>
    <row r="59" spans="3:5" ht="13.5" thickBot="1">
      <c r="C59" s="666">
        <f>C42-C58</f>
        <v>0</v>
      </c>
      <c r="D59" s="666">
        <f>D42-D58</f>
        <v>0</v>
      </c>
      <c r="E59" s="767"/>
    </row>
    <row r="60" spans="1:5" ht="15" customHeight="1" thickBot="1">
      <c r="A60" s="319" t="s">
        <v>490</v>
      </c>
      <c r="B60" s="320"/>
      <c r="C60" s="312">
        <v>9</v>
      </c>
      <c r="D60" s="312">
        <v>9</v>
      </c>
      <c r="E60" s="311">
        <v>9</v>
      </c>
    </row>
    <row r="61" spans="1:5" ht="14.25" customHeight="1" thickBot="1">
      <c r="A61" s="321" t="s">
        <v>491</v>
      </c>
      <c r="B61" s="322"/>
      <c r="C61" s="312">
        <v>0</v>
      </c>
      <c r="D61" s="312">
        <v>0</v>
      </c>
      <c r="E61" s="311">
        <v>0</v>
      </c>
    </row>
  </sheetData>
  <sheetProtection selectLockedCells="1" selectUnlockedCells="1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34">
      <selection activeCell="E59" sqref="E59"/>
    </sheetView>
  </sheetViews>
  <sheetFormatPr defaultColWidth="9.00390625" defaultRowHeight="12.75"/>
  <cols>
    <col min="1" max="1" width="13.00390625" style="89" customWidth="1"/>
    <col min="2" max="2" width="59.00390625" style="90" customWidth="1"/>
    <col min="3" max="5" width="15.875" style="90" customWidth="1"/>
    <col min="6" max="16384" width="9.375" style="90" customWidth="1"/>
  </cols>
  <sheetData>
    <row r="1" spans="1:5" s="80" customFormat="1" ht="16.5" thickBot="1">
      <c r="A1" s="345"/>
      <c r="B1" s="876" t="str">
        <f>CONCATENATE("6.2.1. melléklet ",Z_ALAPADATOK!A7," ",Z_ALAPADATOK!B7," ",Z_ALAPADATOK!C7," ",Z_ALAPADATOK!D7," ",Z_ALAPADATOK!E7," ",Z_ALAPADATOK!F7," ",Z_ALAPADATOK!G7," ",Z_ALAPADATOK!H7)</f>
        <v>6.2.1. melléklet a 12 / 2020. ( VII.16. ) önkormányzati rendelethez</v>
      </c>
      <c r="C1" s="877"/>
      <c r="D1" s="877"/>
      <c r="E1" s="877"/>
    </row>
    <row r="2" spans="1:5" s="211" customFormat="1" ht="24.75" thickBot="1">
      <c r="A2" s="346" t="s">
        <v>458</v>
      </c>
      <c r="B2" s="878" t="str">
        <f>CONCATENATE('Z_6.2.sz.mell'!B2:D2)</f>
        <v>Szalántai Közös Önkormányzati Hivatal</v>
      </c>
      <c r="C2" s="879"/>
      <c r="D2" s="880"/>
      <c r="E2" s="347" t="s">
        <v>43</v>
      </c>
    </row>
    <row r="3" spans="1:5" s="211" customFormat="1" ht="24.75" thickBot="1">
      <c r="A3" s="346" t="s">
        <v>137</v>
      </c>
      <c r="B3" s="878" t="s">
        <v>325</v>
      </c>
      <c r="C3" s="879"/>
      <c r="D3" s="880"/>
      <c r="E3" s="347" t="s">
        <v>43</v>
      </c>
    </row>
    <row r="4" spans="1:5" s="212" customFormat="1" ht="15.75" customHeight="1" thickBot="1">
      <c r="A4" s="348"/>
      <c r="B4" s="348"/>
      <c r="C4" s="349"/>
      <c r="D4" s="350"/>
      <c r="E4" s="349" t="s">
        <v>850</v>
      </c>
    </row>
    <row r="5" spans="1:5" ht="24.75" thickBot="1">
      <c r="A5" s="351" t="s">
        <v>138</v>
      </c>
      <c r="B5" s="352" t="s">
        <v>489</v>
      </c>
      <c r="C5" s="352" t="s">
        <v>454</v>
      </c>
      <c r="D5" s="353" t="s">
        <v>455</v>
      </c>
      <c r="E5" s="334" t="str">
        <f>CONCATENATE('Z_6.2.sz.mell'!E5)</f>
        <v>Teljesítés
2019. XII. 31.</v>
      </c>
    </row>
    <row r="6" spans="1:5" s="213" customFormat="1" ht="12.75" customHeight="1" thickBot="1">
      <c r="A6" s="384" t="s">
        <v>387</v>
      </c>
      <c r="B6" s="385" t="s">
        <v>388</v>
      </c>
      <c r="C6" s="385" t="s">
        <v>389</v>
      </c>
      <c r="D6" s="386" t="s">
        <v>391</v>
      </c>
      <c r="E6" s="387" t="s">
        <v>390</v>
      </c>
    </row>
    <row r="7" spans="1:5" s="213" customFormat="1" ht="15.75" customHeight="1" thickBot="1">
      <c r="A7" s="872" t="s">
        <v>40</v>
      </c>
      <c r="B7" s="873"/>
      <c r="C7" s="873"/>
      <c r="D7" s="873"/>
      <c r="E7" s="874"/>
    </row>
    <row r="8" spans="1:5" s="149" customFormat="1" ht="12" customHeight="1" thickBot="1">
      <c r="A8" s="72" t="s">
        <v>6</v>
      </c>
      <c r="B8" s="81" t="s">
        <v>408</v>
      </c>
      <c r="C8" s="117">
        <f>SUM(C9:C19)</f>
        <v>300000</v>
      </c>
      <c r="D8" s="117">
        <f>SUM(D9:D19)</f>
        <v>300000</v>
      </c>
      <c r="E8" s="144">
        <f>SUM(E9:E19)</f>
        <v>165756</v>
      </c>
    </row>
    <row r="9" spans="1:5" s="149" customFormat="1" ht="12" customHeight="1">
      <c r="A9" s="206" t="s">
        <v>64</v>
      </c>
      <c r="B9" s="8" t="s">
        <v>188</v>
      </c>
      <c r="C9" s="268"/>
      <c r="D9" s="268"/>
      <c r="E9" s="314"/>
    </row>
    <row r="10" spans="1:5" s="149" customFormat="1" ht="12" customHeight="1">
      <c r="A10" s="207" t="s">
        <v>65</v>
      </c>
      <c r="B10" s="6" t="s">
        <v>189</v>
      </c>
      <c r="C10" s="114">
        <v>70000</v>
      </c>
      <c r="D10" s="114">
        <v>70000</v>
      </c>
      <c r="E10" s="260">
        <v>58000</v>
      </c>
    </row>
    <row r="11" spans="1:5" s="149" customFormat="1" ht="12" customHeight="1">
      <c r="A11" s="207" t="s">
        <v>66</v>
      </c>
      <c r="B11" s="6" t="s">
        <v>190</v>
      </c>
      <c r="C11" s="114">
        <v>230000</v>
      </c>
      <c r="D11" s="114">
        <v>230000</v>
      </c>
      <c r="E11" s="260">
        <v>101974</v>
      </c>
    </row>
    <row r="12" spans="1:5" s="149" customFormat="1" ht="12" customHeight="1">
      <c r="A12" s="207" t="s">
        <v>67</v>
      </c>
      <c r="B12" s="6" t="s">
        <v>191</v>
      </c>
      <c r="C12" s="114"/>
      <c r="D12" s="114"/>
      <c r="E12" s="260"/>
    </row>
    <row r="13" spans="1:5" s="149" customFormat="1" ht="12" customHeight="1">
      <c r="A13" s="207" t="s">
        <v>99</v>
      </c>
      <c r="B13" s="6" t="s">
        <v>192</v>
      </c>
      <c r="C13" s="114"/>
      <c r="D13" s="114"/>
      <c r="E13" s="260"/>
    </row>
    <row r="14" spans="1:5" s="149" customFormat="1" ht="12" customHeight="1">
      <c r="A14" s="207" t="s">
        <v>68</v>
      </c>
      <c r="B14" s="6" t="s">
        <v>308</v>
      </c>
      <c r="C14" s="114"/>
      <c r="D14" s="114"/>
      <c r="E14" s="260"/>
    </row>
    <row r="15" spans="1:5" s="149" customFormat="1" ht="12" customHeight="1">
      <c r="A15" s="207" t="s">
        <v>69</v>
      </c>
      <c r="B15" s="5" t="s">
        <v>309</v>
      </c>
      <c r="C15" s="114"/>
      <c r="D15" s="114"/>
      <c r="E15" s="260"/>
    </row>
    <row r="16" spans="1:5" s="149" customFormat="1" ht="12" customHeight="1">
      <c r="A16" s="207" t="s">
        <v>77</v>
      </c>
      <c r="B16" s="6" t="s">
        <v>195</v>
      </c>
      <c r="C16" s="266"/>
      <c r="D16" s="266"/>
      <c r="E16" s="264">
        <v>1</v>
      </c>
    </row>
    <row r="17" spans="1:5" s="214" customFormat="1" ht="12" customHeight="1">
      <c r="A17" s="207" t="s">
        <v>78</v>
      </c>
      <c r="B17" s="6" t="s">
        <v>196</v>
      </c>
      <c r="C17" s="114"/>
      <c r="D17" s="114"/>
      <c r="E17" s="260"/>
    </row>
    <row r="18" spans="1:5" s="214" customFormat="1" ht="12" customHeight="1">
      <c r="A18" s="207" t="s">
        <v>79</v>
      </c>
      <c r="B18" s="6" t="s">
        <v>339</v>
      </c>
      <c r="C18" s="116"/>
      <c r="D18" s="116"/>
      <c r="E18" s="261"/>
    </row>
    <row r="19" spans="1:5" s="214" customFormat="1" ht="12" customHeight="1" thickBot="1">
      <c r="A19" s="207" t="s">
        <v>80</v>
      </c>
      <c r="B19" s="5" t="s">
        <v>197</v>
      </c>
      <c r="C19" s="116"/>
      <c r="D19" s="116"/>
      <c r="E19" s="261">
        <v>5781</v>
      </c>
    </row>
    <row r="20" spans="1:5" s="149" customFormat="1" ht="12" customHeight="1" thickBot="1">
      <c r="A20" s="72" t="s">
        <v>7</v>
      </c>
      <c r="B20" s="81" t="s">
        <v>310</v>
      </c>
      <c r="C20" s="117">
        <f>SUM(C21:C23)</f>
        <v>800000</v>
      </c>
      <c r="D20" s="117">
        <f>SUM(D21:D23)</f>
        <v>6576911</v>
      </c>
      <c r="E20" s="144">
        <f>SUM(E21:E23)</f>
        <v>6576911</v>
      </c>
    </row>
    <row r="21" spans="1:5" s="214" customFormat="1" ht="12" customHeight="1">
      <c r="A21" s="207" t="s">
        <v>70</v>
      </c>
      <c r="B21" s="7" t="s">
        <v>170</v>
      </c>
      <c r="C21" s="114"/>
      <c r="D21" s="114"/>
      <c r="E21" s="260"/>
    </row>
    <row r="22" spans="1:5" s="214" customFormat="1" ht="12" customHeight="1">
      <c r="A22" s="207" t="s">
        <v>71</v>
      </c>
      <c r="B22" s="6" t="s">
        <v>311</v>
      </c>
      <c r="C22" s="114"/>
      <c r="D22" s="114"/>
      <c r="E22" s="260"/>
    </row>
    <row r="23" spans="1:5" s="214" customFormat="1" ht="12" customHeight="1">
      <c r="A23" s="207" t="s">
        <v>72</v>
      </c>
      <c r="B23" s="6" t="s">
        <v>312</v>
      </c>
      <c r="C23" s="114">
        <v>800000</v>
      </c>
      <c r="D23" s="114">
        <v>6576911</v>
      </c>
      <c r="E23" s="260">
        <v>6576911</v>
      </c>
    </row>
    <row r="24" spans="1:5" s="214" customFormat="1" ht="12" customHeight="1" thickBot="1">
      <c r="A24" s="207" t="s">
        <v>73</v>
      </c>
      <c r="B24" s="6" t="s">
        <v>409</v>
      </c>
      <c r="C24" s="114"/>
      <c r="D24" s="114"/>
      <c r="E24" s="260"/>
    </row>
    <row r="25" spans="1:5" s="214" customFormat="1" ht="12" customHeight="1" thickBot="1">
      <c r="A25" s="76" t="s">
        <v>8</v>
      </c>
      <c r="B25" s="56" t="s">
        <v>115</v>
      </c>
      <c r="C25" s="316"/>
      <c r="D25" s="316"/>
      <c r="E25" s="143"/>
    </row>
    <row r="26" spans="1:5" s="214" customFormat="1" ht="12" customHeight="1" thickBot="1">
      <c r="A26" s="76" t="s">
        <v>9</v>
      </c>
      <c r="B26" s="56" t="s">
        <v>410</v>
      </c>
      <c r="C26" s="117">
        <f>+C27+C28+C29</f>
        <v>0</v>
      </c>
      <c r="D26" s="117">
        <f>+D27+D28+D29</f>
        <v>0</v>
      </c>
      <c r="E26" s="144">
        <f>+E27+E28+E29</f>
        <v>0</v>
      </c>
    </row>
    <row r="27" spans="1:5" s="214" customFormat="1" ht="12" customHeight="1">
      <c r="A27" s="208" t="s">
        <v>179</v>
      </c>
      <c r="B27" s="209" t="s">
        <v>175</v>
      </c>
      <c r="C27" s="267"/>
      <c r="D27" s="267"/>
      <c r="E27" s="265"/>
    </row>
    <row r="28" spans="1:5" s="214" customFormat="1" ht="12" customHeight="1">
      <c r="A28" s="208" t="s">
        <v>180</v>
      </c>
      <c r="B28" s="209" t="s">
        <v>311</v>
      </c>
      <c r="C28" s="114"/>
      <c r="D28" s="114"/>
      <c r="E28" s="260"/>
    </row>
    <row r="29" spans="1:5" s="214" customFormat="1" ht="12" customHeight="1">
      <c r="A29" s="208" t="s">
        <v>181</v>
      </c>
      <c r="B29" s="210" t="s">
        <v>313</v>
      </c>
      <c r="C29" s="114"/>
      <c r="D29" s="114"/>
      <c r="E29" s="260"/>
    </row>
    <row r="30" spans="1:5" s="214" customFormat="1" ht="12" customHeight="1" thickBot="1">
      <c r="A30" s="207" t="s">
        <v>182</v>
      </c>
      <c r="B30" s="59" t="s">
        <v>411</v>
      </c>
      <c r="C30" s="47"/>
      <c r="D30" s="47"/>
      <c r="E30" s="315"/>
    </row>
    <row r="31" spans="1:5" s="214" customFormat="1" ht="12" customHeight="1" thickBot="1">
      <c r="A31" s="76" t="s">
        <v>10</v>
      </c>
      <c r="B31" s="56" t="s">
        <v>314</v>
      </c>
      <c r="C31" s="117">
        <f>+C32+C33+C34</f>
        <v>0</v>
      </c>
      <c r="D31" s="117">
        <f>+D32+D33+D34</f>
        <v>0</v>
      </c>
      <c r="E31" s="144">
        <f>+E32+E33+E34</f>
        <v>0</v>
      </c>
    </row>
    <row r="32" spans="1:5" s="214" customFormat="1" ht="12" customHeight="1">
      <c r="A32" s="208" t="s">
        <v>57</v>
      </c>
      <c r="B32" s="209" t="s">
        <v>202</v>
      </c>
      <c r="C32" s="267"/>
      <c r="D32" s="267"/>
      <c r="E32" s="265"/>
    </row>
    <row r="33" spans="1:5" s="214" customFormat="1" ht="12" customHeight="1">
      <c r="A33" s="208" t="s">
        <v>58</v>
      </c>
      <c r="B33" s="210" t="s">
        <v>203</v>
      </c>
      <c r="C33" s="118"/>
      <c r="D33" s="118"/>
      <c r="E33" s="262"/>
    </row>
    <row r="34" spans="1:5" s="214" customFormat="1" ht="12" customHeight="1" thickBot="1">
      <c r="A34" s="207" t="s">
        <v>59</v>
      </c>
      <c r="B34" s="59" t="s">
        <v>204</v>
      </c>
      <c r="C34" s="47"/>
      <c r="D34" s="47"/>
      <c r="E34" s="315"/>
    </row>
    <row r="35" spans="1:5" s="149" customFormat="1" ht="12" customHeight="1" thickBot="1">
      <c r="A35" s="76" t="s">
        <v>11</v>
      </c>
      <c r="B35" s="56" t="s">
        <v>287</v>
      </c>
      <c r="C35" s="316"/>
      <c r="D35" s="316"/>
      <c r="E35" s="143"/>
    </row>
    <row r="36" spans="1:5" s="149" customFormat="1" ht="12" customHeight="1" thickBot="1">
      <c r="A36" s="76" t="s">
        <v>12</v>
      </c>
      <c r="B36" s="56" t="s">
        <v>315</v>
      </c>
      <c r="C36" s="316"/>
      <c r="D36" s="316"/>
      <c r="E36" s="143"/>
    </row>
    <row r="37" spans="1:5" s="149" customFormat="1" ht="12" customHeight="1" thickBot="1">
      <c r="A37" s="72" t="s">
        <v>13</v>
      </c>
      <c r="B37" s="56" t="s">
        <v>316</v>
      </c>
      <c r="C37" s="117">
        <f>+C8+C20+C25+C26+C31+C35+C36</f>
        <v>1100000</v>
      </c>
      <c r="D37" s="117">
        <f>+D8+D20+D25+D26+D31+D35+D36</f>
        <v>6876911</v>
      </c>
      <c r="E37" s="144">
        <f>+E8+E20+E25+E26+E31+E35+E36</f>
        <v>6742667</v>
      </c>
    </row>
    <row r="38" spans="1:5" s="149" customFormat="1" ht="12" customHeight="1" thickBot="1">
      <c r="A38" s="82" t="s">
        <v>14</v>
      </c>
      <c r="B38" s="56" t="s">
        <v>317</v>
      </c>
      <c r="C38" s="117">
        <f>+C39+C40+C41</f>
        <v>51343239</v>
      </c>
      <c r="D38" s="117">
        <f>+D39+D40+D41</f>
        <v>53139239</v>
      </c>
      <c r="E38" s="144">
        <f>+E39+E40+E41</f>
        <v>53138764</v>
      </c>
    </row>
    <row r="39" spans="1:5" s="149" customFormat="1" ht="12" customHeight="1">
      <c r="A39" s="208" t="s">
        <v>318</v>
      </c>
      <c r="B39" s="209" t="s">
        <v>152</v>
      </c>
      <c r="C39" s="267">
        <v>2054239</v>
      </c>
      <c r="D39" s="267">
        <v>2054239</v>
      </c>
      <c r="E39" s="265">
        <v>2054239</v>
      </c>
    </row>
    <row r="40" spans="1:5" s="149" customFormat="1" ht="12" customHeight="1">
      <c r="A40" s="208" t="s">
        <v>319</v>
      </c>
      <c r="B40" s="210" t="s">
        <v>0</v>
      </c>
      <c r="C40" s="118"/>
      <c r="D40" s="118"/>
      <c r="E40" s="262"/>
    </row>
    <row r="41" spans="1:5" s="214" customFormat="1" ht="12" customHeight="1" thickBot="1">
      <c r="A41" s="207" t="s">
        <v>320</v>
      </c>
      <c r="B41" s="59" t="s">
        <v>321</v>
      </c>
      <c r="C41" s="47">
        <v>49289000</v>
      </c>
      <c r="D41" s="47">
        <v>51085000</v>
      </c>
      <c r="E41" s="315">
        <v>51084525</v>
      </c>
    </row>
    <row r="42" spans="1:5" s="214" customFormat="1" ht="15" customHeight="1" thickBot="1">
      <c r="A42" s="82" t="s">
        <v>15</v>
      </c>
      <c r="B42" s="83" t="s">
        <v>322</v>
      </c>
      <c r="C42" s="317">
        <f>+C37+C38</f>
        <v>52443239</v>
      </c>
      <c r="D42" s="317">
        <f>+D37+D38</f>
        <v>60016150</v>
      </c>
      <c r="E42" s="147">
        <f>+E37+E38</f>
        <v>59881431</v>
      </c>
    </row>
    <row r="43" spans="1:3" s="214" customFormat="1" ht="15" customHeight="1">
      <c r="A43" s="84"/>
      <c r="B43" s="85"/>
      <c r="C43" s="145"/>
    </row>
    <row r="44" spans="1:3" ht="13.5" thickBot="1">
      <c r="A44" s="86"/>
      <c r="B44" s="87"/>
      <c r="C44" s="146"/>
    </row>
    <row r="45" spans="1:5" s="213" customFormat="1" ht="16.5" customHeight="1" thickBot="1">
      <c r="A45" s="872" t="s">
        <v>41</v>
      </c>
      <c r="B45" s="873"/>
      <c r="C45" s="873"/>
      <c r="D45" s="873"/>
      <c r="E45" s="874"/>
    </row>
    <row r="46" spans="1:5" s="215" customFormat="1" ht="12" customHeight="1" thickBot="1">
      <c r="A46" s="76" t="s">
        <v>6</v>
      </c>
      <c r="B46" s="56" t="s">
        <v>323</v>
      </c>
      <c r="C46" s="117">
        <f>SUM(C47:C51)</f>
        <v>52062239</v>
      </c>
      <c r="D46" s="117">
        <f>SUM(D47:D51)</f>
        <v>59635150</v>
      </c>
      <c r="E46" s="144">
        <f>SUM(E47:E51)</f>
        <v>55808441</v>
      </c>
    </row>
    <row r="47" spans="1:5" ht="12" customHeight="1">
      <c r="A47" s="207" t="s">
        <v>64</v>
      </c>
      <c r="B47" s="7" t="s">
        <v>35</v>
      </c>
      <c r="C47" s="267">
        <v>34080000</v>
      </c>
      <c r="D47" s="267">
        <v>39080000</v>
      </c>
      <c r="E47" s="265">
        <v>38532171</v>
      </c>
    </row>
    <row r="48" spans="1:5" ht="12" customHeight="1">
      <c r="A48" s="207" t="s">
        <v>65</v>
      </c>
      <c r="B48" s="6" t="s">
        <v>124</v>
      </c>
      <c r="C48" s="46">
        <v>7040000</v>
      </c>
      <c r="D48" s="46">
        <v>7710000</v>
      </c>
      <c r="E48" s="263">
        <v>7623241</v>
      </c>
    </row>
    <row r="49" spans="1:5" ht="12" customHeight="1">
      <c r="A49" s="207" t="s">
        <v>66</v>
      </c>
      <c r="B49" s="6" t="s">
        <v>92</v>
      </c>
      <c r="C49" s="46">
        <v>10942239</v>
      </c>
      <c r="D49" s="46">
        <v>12845150</v>
      </c>
      <c r="E49" s="263">
        <v>9653029</v>
      </c>
    </row>
    <row r="50" spans="1:5" ht="12" customHeight="1">
      <c r="A50" s="207" t="s">
        <v>67</v>
      </c>
      <c r="B50" s="6" t="s">
        <v>125</v>
      </c>
      <c r="C50" s="46"/>
      <c r="D50" s="46"/>
      <c r="E50" s="263"/>
    </row>
    <row r="51" spans="1:5" ht="12" customHeight="1" thickBot="1">
      <c r="A51" s="207" t="s">
        <v>99</v>
      </c>
      <c r="B51" s="6" t="s">
        <v>126</v>
      </c>
      <c r="C51" s="46"/>
      <c r="D51" s="46"/>
      <c r="E51" s="263"/>
    </row>
    <row r="52" spans="1:5" ht="12" customHeight="1" thickBot="1">
      <c r="A52" s="76" t="s">
        <v>7</v>
      </c>
      <c r="B52" s="56" t="s">
        <v>324</v>
      </c>
      <c r="C52" s="117">
        <f>SUM(C53:C55)</f>
        <v>381000</v>
      </c>
      <c r="D52" s="117">
        <f>SUM(D53:D55)</f>
        <v>381000</v>
      </c>
      <c r="E52" s="144">
        <f>SUM(E53:E55)</f>
        <v>309580</v>
      </c>
    </row>
    <row r="53" spans="1:5" s="215" customFormat="1" ht="12" customHeight="1">
      <c r="A53" s="207" t="s">
        <v>70</v>
      </c>
      <c r="B53" s="7" t="s">
        <v>145</v>
      </c>
      <c r="C53" s="267">
        <v>381000</v>
      </c>
      <c r="D53" s="267">
        <v>381000</v>
      </c>
      <c r="E53" s="265">
        <v>309580</v>
      </c>
    </row>
    <row r="54" spans="1:5" ht="12" customHeight="1">
      <c r="A54" s="207" t="s">
        <v>71</v>
      </c>
      <c r="B54" s="6" t="s">
        <v>128</v>
      </c>
      <c r="C54" s="46"/>
      <c r="D54" s="46"/>
      <c r="E54" s="263"/>
    </row>
    <row r="55" spans="1:5" ht="12" customHeight="1">
      <c r="A55" s="207" t="s">
        <v>72</v>
      </c>
      <c r="B55" s="6" t="s">
        <v>42</v>
      </c>
      <c r="C55" s="46"/>
      <c r="D55" s="46"/>
      <c r="E55" s="263"/>
    </row>
    <row r="56" spans="1:5" ht="12" customHeight="1" thickBot="1">
      <c r="A56" s="207" t="s">
        <v>73</v>
      </c>
      <c r="B56" s="6" t="s">
        <v>412</v>
      </c>
      <c r="C56" s="46"/>
      <c r="D56" s="46"/>
      <c r="E56" s="263"/>
    </row>
    <row r="57" spans="1:5" ht="12" customHeight="1" thickBot="1">
      <c r="A57" s="76" t="s">
        <v>8</v>
      </c>
      <c r="B57" s="56" t="s">
        <v>2</v>
      </c>
      <c r="C57" s="316"/>
      <c r="D57" s="316"/>
      <c r="E57" s="143"/>
    </row>
    <row r="58" spans="1:5" ht="15" customHeight="1" thickBot="1">
      <c r="A58" s="76" t="s">
        <v>9</v>
      </c>
      <c r="B58" s="88" t="s">
        <v>413</v>
      </c>
      <c r="C58" s="317">
        <f>+C46+C52+C57</f>
        <v>52443239</v>
      </c>
      <c r="D58" s="317">
        <f>+D46+D52+D57</f>
        <v>60016150</v>
      </c>
      <c r="E58" s="147">
        <f>+E46+E52+E57</f>
        <v>56118021</v>
      </c>
    </row>
    <row r="59" spans="3:5" ht="13.5" thickBot="1">
      <c r="C59" s="666">
        <f>C42-C58</f>
        <v>0</v>
      </c>
      <c r="D59" s="666">
        <f>D42-D58</f>
        <v>0</v>
      </c>
      <c r="E59" s="767"/>
    </row>
    <row r="60" spans="1:5" ht="15" customHeight="1" thickBot="1">
      <c r="A60" s="319" t="s">
        <v>490</v>
      </c>
      <c r="B60" s="320"/>
      <c r="C60" s="312">
        <v>9</v>
      </c>
      <c r="D60" s="312">
        <v>9</v>
      </c>
      <c r="E60" s="311">
        <v>9</v>
      </c>
    </row>
    <row r="61" spans="1:5" ht="14.25" customHeight="1" thickBot="1">
      <c r="A61" s="321" t="s">
        <v>491</v>
      </c>
      <c r="B61" s="322"/>
      <c r="C61" s="312">
        <v>0</v>
      </c>
      <c r="D61" s="312">
        <v>0</v>
      </c>
      <c r="E61" s="311">
        <v>0</v>
      </c>
    </row>
  </sheetData>
  <sheetProtection selectLockedCells="1" selectUnlockedCells="1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20" zoomScaleNormal="120" workbookViewId="0" topLeftCell="A1">
      <selection activeCell="J21" sqref="J21"/>
    </sheetView>
  </sheetViews>
  <sheetFormatPr defaultColWidth="9.00390625" defaultRowHeight="12.75"/>
  <cols>
    <col min="1" max="1" width="13.00390625" style="89" customWidth="1"/>
    <col min="2" max="2" width="59.00390625" style="90" customWidth="1"/>
    <col min="3" max="5" width="15.875" style="90" customWidth="1"/>
    <col min="6" max="16384" width="9.375" style="90" customWidth="1"/>
  </cols>
  <sheetData>
    <row r="1" spans="1:5" s="80" customFormat="1" ht="16.5" thickBot="1">
      <c r="A1" s="345"/>
      <c r="B1" s="876" t="str">
        <f>CONCATENATE("6.2.2. melléklet ",Z_ALAPADATOK!A7," ",Z_ALAPADATOK!B7," ",Z_ALAPADATOK!C7," ",Z_ALAPADATOK!D7," ",Z_ALAPADATOK!E7," ",Z_ALAPADATOK!F7," ",Z_ALAPADATOK!G7," ",Z_ALAPADATOK!H7)</f>
        <v>6.2.2. melléklet a 12 / 2020. ( VII.16. ) önkormányzati rendelethez</v>
      </c>
      <c r="C1" s="877"/>
      <c r="D1" s="877"/>
      <c r="E1" s="877"/>
    </row>
    <row r="2" spans="1:5" s="211" customFormat="1" ht="24.75" thickBot="1">
      <c r="A2" s="346" t="s">
        <v>458</v>
      </c>
      <c r="B2" s="878" t="str">
        <f>CONCATENATE('Z_6.2.1.sz.mell'!B2:D2)</f>
        <v>Szalántai Közös Önkormányzati Hivatal</v>
      </c>
      <c r="C2" s="879"/>
      <c r="D2" s="880"/>
      <c r="E2" s="347" t="s">
        <v>43</v>
      </c>
    </row>
    <row r="3" spans="1:5" s="211" customFormat="1" ht="24.75" thickBot="1">
      <c r="A3" s="346" t="s">
        <v>137</v>
      </c>
      <c r="B3" s="878" t="s">
        <v>326</v>
      </c>
      <c r="C3" s="879"/>
      <c r="D3" s="880"/>
      <c r="E3" s="347" t="s">
        <v>44</v>
      </c>
    </row>
    <row r="4" spans="1:5" s="212" customFormat="1" ht="15.75" customHeight="1" thickBot="1">
      <c r="A4" s="348"/>
      <c r="B4" s="348"/>
      <c r="C4" s="349"/>
      <c r="D4" s="350"/>
      <c r="E4" s="349" t="str">
        <f>'Z_6.2.1.sz.mell'!E4</f>
        <v>Forintban</v>
      </c>
    </row>
    <row r="5" spans="1:5" ht="24.75" thickBot="1">
      <c r="A5" s="351" t="s">
        <v>138</v>
      </c>
      <c r="B5" s="352" t="s">
        <v>489</v>
      </c>
      <c r="C5" s="352" t="s">
        <v>454</v>
      </c>
      <c r="D5" s="353" t="s">
        <v>455</v>
      </c>
      <c r="E5" s="334" t="str">
        <f>CONCATENATE('Z_6.2.1.sz.mell'!E5)</f>
        <v>Teljesítés
2019. XII. 31.</v>
      </c>
    </row>
    <row r="6" spans="1:5" s="213" customFormat="1" ht="12.75" customHeight="1" thickBot="1">
      <c r="A6" s="384" t="s">
        <v>387</v>
      </c>
      <c r="B6" s="385" t="s">
        <v>388</v>
      </c>
      <c r="C6" s="385" t="s">
        <v>389</v>
      </c>
      <c r="D6" s="386" t="s">
        <v>391</v>
      </c>
      <c r="E6" s="387" t="s">
        <v>390</v>
      </c>
    </row>
    <row r="7" spans="1:5" s="213" customFormat="1" ht="15.75" customHeight="1" thickBot="1">
      <c r="A7" s="872" t="s">
        <v>40</v>
      </c>
      <c r="B7" s="873"/>
      <c r="C7" s="873"/>
      <c r="D7" s="873"/>
      <c r="E7" s="874"/>
    </row>
    <row r="8" spans="1:5" s="149" customFormat="1" ht="12" customHeight="1" thickBot="1">
      <c r="A8" s="72" t="s">
        <v>6</v>
      </c>
      <c r="B8" s="81" t="s">
        <v>408</v>
      </c>
      <c r="C8" s="117">
        <f>SUM(C9:C19)</f>
        <v>0</v>
      </c>
      <c r="D8" s="117">
        <f>SUM(D9:D19)</f>
        <v>0</v>
      </c>
      <c r="E8" s="144">
        <f>SUM(E9:E19)</f>
        <v>0</v>
      </c>
    </row>
    <row r="9" spans="1:5" s="149" customFormat="1" ht="12" customHeight="1">
      <c r="A9" s="206" t="s">
        <v>64</v>
      </c>
      <c r="B9" s="8" t="s">
        <v>188</v>
      </c>
      <c r="C9" s="268"/>
      <c r="D9" s="268"/>
      <c r="E9" s="314"/>
    </row>
    <row r="10" spans="1:5" s="149" customFormat="1" ht="12" customHeight="1">
      <c r="A10" s="207" t="s">
        <v>65</v>
      </c>
      <c r="B10" s="6" t="s">
        <v>189</v>
      </c>
      <c r="C10" s="114"/>
      <c r="D10" s="114"/>
      <c r="E10" s="260"/>
    </row>
    <row r="11" spans="1:5" s="149" customFormat="1" ht="12" customHeight="1">
      <c r="A11" s="207" t="s">
        <v>66</v>
      </c>
      <c r="B11" s="6" t="s">
        <v>190</v>
      </c>
      <c r="C11" s="114"/>
      <c r="D11" s="114"/>
      <c r="E11" s="260"/>
    </row>
    <row r="12" spans="1:5" s="149" customFormat="1" ht="12" customHeight="1">
      <c r="A12" s="207" t="s">
        <v>67</v>
      </c>
      <c r="B12" s="6" t="s">
        <v>191</v>
      </c>
      <c r="C12" s="114"/>
      <c r="D12" s="114"/>
      <c r="E12" s="260"/>
    </row>
    <row r="13" spans="1:5" s="149" customFormat="1" ht="12" customHeight="1">
      <c r="A13" s="207" t="s">
        <v>99</v>
      </c>
      <c r="B13" s="6" t="s">
        <v>192</v>
      </c>
      <c r="C13" s="114"/>
      <c r="D13" s="114"/>
      <c r="E13" s="260"/>
    </row>
    <row r="14" spans="1:5" s="149" customFormat="1" ht="12" customHeight="1">
      <c r="A14" s="207" t="s">
        <v>68</v>
      </c>
      <c r="B14" s="6" t="s">
        <v>308</v>
      </c>
      <c r="C14" s="114"/>
      <c r="D14" s="114"/>
      <c r="E14" s="260"/>
    </row>
    <row r="15" spans="1:5" s="149" customFormat="1" ht="12" customHeight="1">
      <c r="A15" s="207" t="s">
        <v>69</v>
      </c>
      <c r="B15" s="5" t="s">
        <v>309</v>
      </c>
      <c r="C15" s="114"/>
      <c r="D15" s="114"/>
      <c r="E15" s="260"/>
    </row>
    <row r="16" spans="1:5" s="149" customFormat="1" ht="12" customHeight="1">
      <c r="A16" s="207" t="s">
        <v>77</v>
      </c>
      <c r="B16" s="6" t="s">
        <v>195</v>
      </c>
      <c r="C16" s="266"/>
      <c r="D16" s="266"/>
      <c r="E16" s="264"/>
    </row>
    <row r="17" spans="1:5" s="214" customFormat="1" ht="12" customHeight="1">
      <c r="A17" s="207" t="s">
        <v>78</v>
      </c>
      <c r="B17" s="6" t="s">
        <v>196</v>
      </c>
      <c r="C17" s="114"/>
      <c r="D17" s="114"/>
      <c r="E17" s="260"/>
    </row>
    <row r="18" spans="1:5" s="214" customFormat="1" ht="12" customHeight="1">
      <c r="A18" s="207" t="s">
        <v>79</v>
      </c>
      <c r="B18" s="6" t="s">
        <v>339</v>
      </c>
      <c r="C18" s="116"/>
      <c r="D18" s="116"/>
      <c r="E18" s="261"/>
    </row>
    <row r="19" spans="1:5" s="214" customFormat="1" ht="12" customHeight="1" thickBot="1">
      <c r="A19" s="207" t="s">
        <v>80</v>
      </c>
      <c r="B19" s="5" t="s">
        <v>197</v>
      </c>
      <c r="C19" s="116"/>
      <c r="D19" s="116"/>
      <c r="E19" s="261"/>
    </row>
    <row r="20" spans="1:5" s="149" customFormat="1" ht="12" customHeight="1" thickBot="1">
      <c r="A20" s="72" t="s">
        <v>7</v>
      </c>
      <c r="B20" s="81" t="s">
        <v>310</v>
      </c>
      <c r="C20" s="117">
        <f>SUM(C21:C23)</f>
        <v>0</v>
      </c>
      <c r="D20" s="117">
        <f>SUM(D21:D23)</f>
        <v>0</v>
      </c>
      <c r="E20" s="144">
        <f>SUM(E21:E23)</f>
        <v>0</v>
      </c>
    </row>
    <row r="21" spans="1:5" s="214" customFormat="1" ht="12" customHeight="1">
      <c r="A21" s="207" t="s">
        <v>70</v>
      </c>
      <c r="B21" s="7" t="s">
        <v>170</v>
      </c>
      <c r="C21" s="114"/>
      <c r="D21" s="114"/>
      <c r="E21" s="260"/>
    </row>
    <row r="22" spans="1:5" s="214" customFormat="1" ht="12" customHeight="1">
      <c r="A22" s="207" t="s">
        <v>71</v>
      </c>
      <c r="B22" s="6" t="s">
        <v>311</v>
      </c>
      <c r="C22" s="114"/>
      <c r="D22" s="114"/>
      <c r="E22" s="260"/>
    </row>
    <row r="23" spans="1:5" s="214" customFormat="1" ht="12" customHeight="1">
      <c r="A23" s="207" t="s">
        <v>72</v>
      </c>
      <c r="B23" s="6" t="s">
        <v>312</v>
      </c>
      <c r="C23" s="114"/>
      <c r="D23" s="114"/>
      <c r="E23" s="260"/>
    </row>
    <row r="24" spans="1:5" s="214" customFormat="1" ht="12" customHeight="1" thickBot="1">
      <c r="A24" s="207" t="s">
        <v>73</v>
      </c>
      <c r="B24" s="6" t="s">
        <v>409</v>
      </c>
      <c r="C24" s="114"/>
      <c r="D24" s="114"/>
      <c r="E24" s="260"/>
    </row>
    <row r="25" spans="1:5" s="214" customFormat="1" ht="12" customHeight="1" thickBot="1">
      <c r="A25" s="76" t="s">
        <v>8</v>
      </c>
      <c r="B25" s="56" t="s">
        <v>115</v>
      </c>
      <c r="C25" s="316"/>
      <c r="D25" s="316"/>
      <c r="E25" s="143"/>
    </row>
    <row r="26" spans="1:5" s="214" customFormat="1" ht="12" customHeight="1" thickBot="1">
      <c r="A26" s="76" t="s">
        <v>9</v>
      </c>
      <c r="B26" s="56" t="s">
        <v>410</v>
      </c>
      <c r="C26" s="117">
        <f>+C27+C28+C29</f>
        <v>0</v>
      </c>
      <c r="D26" s="117">
        <f>+D27+D28+D29</f>
        <v>0</v>
      </c>
      <c r="E26" s="144">
        <f>+E27+E28+E29</f>
        <v>0</v>
      </c>
    </row>
    <row r="27" spans="1:5" s="214" customFormat="1" ht="12" customHeight="1">
      <c r="A27" s="208" t="s">
        <v>179</v>
      </c>
      <c r="B27" s="209" t="s">
        <v>175</v>
      </c>
      <c r="C27" s="267"/>
      <c r="D27" s="267"/>
      <c r="E27" s="265"/>
    </row>
    <row r="28" spans="1:5" s="214" customFormat="1" ht="12" customHeight="1">
      <c r="A28" s="208" t="s">
        <v>180</v>
      </c>
      <c r="B28" s="209" t="s">
        <v>311</v>
      </c>
      <c r="C28" s="114"/>
      <c r="D28" s="114"/>
      <c r="E28" s="260"/>
    </row>
    <row r="29" spans="1:5" s="214" customFormat="1" ht="12" customHeight="1">
      <c r="A29" s="208" t="s">
        <v>181</v>
      </c>
      <c r="B29" s="210" t="s">
        <v>313</v>
      </c>
      <c r="C29" s="114"/>
      <c r="D29" s="114"/>
      <c r="E29" s="260"/>
    </row>
    <row r="30" spans="1:5" s="214" customFormat="1" ht="12" customHeight="1" thickBot="1">
      <c r="A30" s="207" t="s">
        <v>182</v>
      </c>
      <c r="B30" s="59" t="s">
        <v>411</v>
      </c>
      <c r="C30" s="47"/>
      <c r="D30" s="47"/>
      <c r="E30" s="315"/>
    </row>
    <row r="31" spans="1:5" s="214" customFormat="1" ht="12" customHeight="1" thickBot="1">
      <c r="A31" s="76" t="s">
        <v>10</v>
      </c>
      <c r="B31" s="56" t="s">
        <v>314</v>
      </c>
      <c r="C31" s="117">
        <f>+C32+C33+C34</f>
        <v>0</v>
      </c>
      <c r="D31" s="117">
        <f>+D32+D33+D34</f>
        <v>0</v>
      </c>
      <c r="E31" s="144">
        <f>+E32+E33+E34</f>
        <v>0</v>
      </c>
    </row>
    <row r="32" spans="1:5" s="214" customFormat="1" ht="12" customHeight="1">
      <c r="A32" s="208" t="s">
        <v>57</v>
      </c>
      <c r="B32" s="209" t="s">
        <v>202</v>
      </c>
      <c r="C32" s="267"/>
      <c r="D32" s="267"/>
      <c r="E32" s="265"/>
    </row>
    <row r="33" spans="1:5" s="214" customFormat="1" ht="12" customHeight="1">
      <c r="A33" s="208" t="s">
        <v>58</v>
      </c>
      <c r="B33" s="210" t="s">
        <v>203</v>
      </c>
      <c r="C33" s="118"/>
      <c r="D33" s="118"/>
      <c r="E33" s="262"/>
    </row>
    <row r="34" spans="1:5" s="214" customFormat="1" ht="12" customHeight="1" thickBot="1">
      <c r="A34" s="207" t="s">
        <v>59</v>
      </c>
      <c r="B34" s="59" t="s">
        <v>204</v>
      </c>
      <c r="C34" s="47"/>
      <c r="D34" s="47"/>
      <c r="E34" s="315"/>
    </row>
    <row r="35" spans="1:5" s="149" customFormat="1" ht="12" customHeight="1" thickBot="1">
      <c r="A35" s="76" t="s">
        <v>11</v>
      </c>
      <c r="B35" s="56" t="s">
        <v>287</v>
      </c>
      <c r="C35" s="316"/>
      <c r="D35" s="316"/>
      <c r="E35" s="143"/>
    </row>
    <row r="36" spans="1:5" s="149" customFormat="1" ht="12" customHeight="1" thickBot="1">
      <c r="A36" s="76" t="s">
        <v>12</v>
      </c>
      <c r="B36" s="56" t="s">
        <v>315</v>
      </c>
      <c r="C36" s="316"/>
      <c r="D36" s="316"/>
      <c r="E36" s="143"/>
    </row>
    <row r="37" spans="1:5" s="149" customFormat="1" ht="12" customHeight="1" thickBot="1">
      <c r="A37" s="72" t="s">
        <v>13</v>
      </c>
      <c r="B37" s="56" t="s">
        <v>316</v>
      </c>
      <c r="C37" s="117">
        <f>+C8+C20+C25+C26+C31+C35+C36</f>
        <v>0</v>
      </c>
      <c r="D37" s="117">
        <f>+D8+D20+D25+D26+D31+D35+D36</f>
        <v>0</v>
      </c>
      <c r="E37" s="144">
        <f>+E8+E20+E25+E26+E31+E35+E36</f>
        <v>0</v>
      </c>
    </row>
    <row r="38" spans="1:5" s="149" customFormat="1" ht="12" customHeight="1" thickBot="1">
      <c r="A38" s="82" t="s">
        <v>14</v>
      </c>
      <c r="B38" s="56" t="s">
        <v>317</v>
      </c>
      <c r="C38" s="117">
        <f>+C39+C40+C41</f>
        <v>0</v>
      </c>
      <c r="D38" s="117">
        <f>+D39+D40+D41</f>
        <v>0</v>
      </c>
      <c r="E38" s="144">
        <f>+E39+E40+E41</f>
        <v>0</v>
      </c>
    </row>
    <row r="39" spans="1:5" s="149" customFormat="1" ht="12" customHeight="1">
      <c r="A39" s="208" t="s">
        <v>318</v>
      </c>
      <c r="B39" s="209" t="s">
        <v>152</v>
      </c>
      <c r="C39" s="267"/>
      <c r="D39" s="267"/>
      <c r="E39" s="265"/>
    </row>
    <row r="40" spans="1:5" s="149" customFormat="1" ht="12" customHeight="1">
      <c r="A40" s="208" t="s">
        <v>319</v>
      </c>
      <c r="B40" s="210" t="s">
        <v>0</v>
      </c>
      <c r="C40" s="118"/>
      <c r="D40" s="118"/>
      <c r="E40" s="262"/>
    </row>
    <row r="41" spans="1:5" s="214" customFormat="1" ht="12" customHeight="1" thickBot="1">
      <c r="A41" s="207" t="s">
        <v>320</v>
      </c>
      <c r="B41" s="59" t="s">
        <v>321</v>
      </c>
      <c r="C41" s="47"/>
      <c r="D41" s="47"/>
      <c r="E41" s="315"/>
    </row>
    <row r="42" spans="1:5" s="214" customFormat="1" ht="15" customHeight="1" thickBot="1">
      <c r="A42" s="82" t="s">
        <v>15</v>
      </c>
      <c r="B42" s="83" t="s">
        <v>322</v>
      </c>
      <c r="C42" s="317">
        <f>+C37+C38</f>
        <v>0</v>
      </c>
      <c r="D42" s="317">
        <f>+D37+D38</f>
        <v>0</v>
      </c>
      <c r="E42" s="147">
        <f>+E37+E38</f>
        <v>0</v>
      </c>
    </row>
    <row r="43" spans="1:3" s="214" customFormat="1" ht="15" customHeight="1">
      <c r="A43" s="84"/>
      <c r="B43" s="85"/>
      <c r="C43" s="145"/>
    </row>
    <row r="44" spans="1:3" ht="13.5" thickBot="1">
      <c r="A44" s="86"/>
      <c r="B44" s="87"/>
      <c r="C44" s="146"/>
    </row>
    <row r="45" spans="1:5" s="213" customFormat="1" ht="16.5" customHeight="1" thickBot="1">
      <c r="A45" s="872" t="s">
        <v>41</v>
      </c>
      <c r="B45" s="873"/>
      <c r="C45" s="873"/>
      <c r="D45" s="873"/>
      <c r="E45" s="874"/>
    </row>
    <row r="46" spans="1:5" s="215" customFormat="1" ht="12" customHeight="1" thickBot="1">
      <c r="A46" s="76" t="s">
        <v>6</v>
      </c>
      <c r="B46" s="56" t="s">
        <v>323</v>
      </c>
      <c r="C46" s="117">
        <f>SUM(C47:C51)</f>
        <v>0</v>
      </c>
      <c r="D46" s="117">
        <f>SUM(D47:D51)</f>
        <v>0</v>
      </c>
      <c r="E46" s="144">
        <f>SUM(E47:E51)</f>
        <v>0</v>
      </c>
    </row>
    <row r="47" spans="1:5" ht="12" customHeight="1">
      <c r="A47" s="207" t="s">
        <v>64</v>
      </c>
      <c r="B47" s="7" t="s">
        <v>35</v>
      </c>
      <c r="C47" s="267"/>
      <c r="D47" s="267"/>
      <c r="E47" s="265"/>
    </row>
    <row r="48" spans="1:5" ht="12" customHeight="1">
      <c r="A48" s="207" t="s">
        <v>65</v>
      </c>
      <c r="B48" s="6" t="s">
        <v>124</v>
      </c>
      <c r="C48" s="46"/>
      <c r="D48" s="46"/>
      <c r="E48" s="263"/>
    </row>
    <row r="49" spans="1:5" ht="12" customHeight="1">
      <c r="A49" s="207" t="s">
        <v>66</v>
      </c>
      <c r="B49" s="6" t="s">
        <v>92</v>
      </c>
      <c r="C49" s="46"/>
      <c r="D49" s="46"/>
      <c r="E49" s="263"/>
    </row>
    <row r="50" spans="1:5" ht="12" customHeight="1">
      <c r="A50" s="207" t="s">
        <v>67</v>
      </c>
      <c r="B50" s="6" t="s">
        <v>125</v>
      </c>
      <c r="C50" s="46"/>
      <c r="D50" s="46"/>
      <c r="E50" s="263"/>
    </row>
    <row r="51" spans="1:5" ht="12" customHeight="1" thickBot="1">
      <c r="A51" s="207" t="s">
        <v>99</v>
      </c>
      <c r="B51" s="6" t="s">
        <v>126</v>
      </c>
      <c r="C51" s="46"/>
      <c r="D51" s="46"/>
      <c r="E51" s="263"/>
    </row>
    <row r="52" spans="1:5" ht="12" customHeight="1" thickBot="1">
      <c r="A52" s="76" t="s">
        <v>7</v>
      </c>
      <c r="B52" s="56" t="s">
        <v>324</v>
      </c>
      <c r="C52" s="117">
        <f>SUM(C53:C55)</f>
        <v>0</v>
      </c>
      <c r="D52" s="117">
        <f>SUM(D53:D55)</f>
        <v>0</v>
      </c>
      <c r="E52" s="144">
        <f>SUM(E53:E55)</f>
        <v>0</v>
      </c>
    </row>
    <row r="53" spans="1:5" s="215" customFormat="1" ht="12" customHeight="1">
      <c r="A53" s="207" t="s">
        <v>70</v>
      </c>
      <c r="B53" s="7" t="s">
        <v>145</v>
      </c>
      <c r="C53" s="267"/>
      <c r="D53" s="267"/>
      <c r="E53" s="265"/>
    </row>
    <row r="54" spans="1:5" ht="12" customHeight="1">
      <c r="A54" s="207" t="s">
        <v>71</v>
      </c>
      <c r="B54" s="6" t="s">
        <v>128</v>
      </c>
      <c r="C54" s="46"/>
      <c r="D54" s="46"/>
      <c r="E54" s="263"/>
    </row>
    <row r="55" spans="1:5" ht="12" customHeight="1">
      <c r="A55" s="207" t="s">
        <v>72</v>
      </c>
      <c r="B55" s="6" t="s">
        <v>42</v>
      </c>
      <c r="C55" s="46"/>
      <c r="D55" s="46"/>
      <c r="E55" s="263"/>
    </row>
    <row r="56" spans="1:5" ht="12" customHeight="1" thickBot="1">
      <c r="A56" s="207" t="s">
        <v>73</v>
      </c>
      <c r="B56" s="6" t="s">
        <v>412</v>
      </c>
      <c r="C56" s="46"/>
      <c r="D56" s="46"/>
      <c r="E56" s="263"/>
    </row>
    <row r="57" spans="1:5" ht="12" customHeight="1" thickBot="1">
      <c r="A57" s="76" t="s">
        <v>8</v>
      </c>
      <c r="B57" s="56" t="s">
        <v>2</v>
      </c>
      <c r="C57" s="316"/>
      <c r="D57" s="316"/>
      <c r="E57" s="143"/>
    </row>
    <row r="58" spans="1:5" ht="15" customHeight="1" thickBot="1">
      <c r="A58" s="76" t="s">
        <v>9</v>
      </c>
      <c r="B58" s="88" t="s">
        <v>413</v>
      </c>
      <c r="C58" s="317">
        <f>+C46+C52+C57</f>
        <v>0</v>
      </c>
      <c r="D58" s="317">
        <f>+D46+D52+D57</f>
        <v>0</v>
      </c>
      <c r="E58" s="147">
        <f>+E46+E52+E57</f>
        <v>0</v>
      </c>
    </row>
    <row r="59" spans="3:5" ht="13.5" thickBot="1">
      <c r="C59" s="666">
        <f>C42-C58</f>
        <v>0</v>
      </c>
      <c r="D59" s="666">
        <f>D42-D58</f>
        <v>0</v>
      </c>
      <c r="E59" s="148"/>
    </row>
    <row r="60" spans="1:5" ht="15" customHeight="1" thickBot="1">
      <c r="A60" s="319" t="s">
        <v>490</v>
      </c>
      <c r="B60" s="320"/>
      <c r="C60" s="312"/>
      <c r="D60" s="312"/>
      <c r="E60" s="311"/>
    </row>
    <row r="61" spans="1:5" ht="14.25" customHeight="1" thickBot="1">
      <c r="A61" s="321" t="s">
        <v>491</v>
      </c>
      <c r="B61" s="322"/>
      <c r="C61" s="312"/>
      <c r="D61" s="312"/>
      <c r="E61" s="311"/>
    </row>
  </sheetData>
  <sheetProtection sheet="1" objects="1" scenarios="1" selectLockedCells="1" selectUnlockedCells="1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selection activeCell="O12" sqref="O12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2019</v>
      </c>
      <c r="C1" t="s">
        <v>865</v>
      </c>
    </row>
    <row r="2" spans="1:6" ht="15.75">
      <c r="A2" s="815" t="s">
        <v>498</v>
      </c>
      <c r="B2" s="815"/>
      <c r="C2" s="815"/>
      <c r="D2" s="815"/>
      <c r="E2" s="815"/>
      <c r="F2" s="815"/>
    </row>
    <row r="3" spans="1:7" ht="15.75">
      <c r="A3" s="818" t="s">
        <v>876</v>
      </c>
      <c r="B3" s="818"/>
      <c r="C3" s="818"/>
      <c r="D3" s="818"/>
      <c r="E3" s="818"/>
      <c r="F3" s="818"/>
      <c r="G3" s="818"/>
    </row>
    <row r="6" ht="15">
      <c r="A6" s="335" t="s">
        <v>847</v>
      </c>
    </row>
    <row r="7" spans="1:8" ht="12.75">
      <c r="A7" s="665" t="s">
        <v>841</v>
      </c>
      <c r="B7" s="686">
        <v>12</v>
      </c>
      <c r="C7" t="s">
        <v>842</v>
      </c>
      <c r="D7" t="s">
        <v>784</v>
      </c>
      <c r="E7" t="s">
        <v>843</v>
      </c>
      <c r="F7" s="686" t="s">
        <v>983</v>
      </c>
      <c r="G7" t="s">
        <v>844</v>
      </c>
      <c r="H7" t="s">
        <v>845</v>
      </c>
    </row>
    <row r="8" spans="1:6" ht="12.75">
      <c r="A8" s="665"/>
      <c r="B8" s="388"/>
      <c r="F8" s="388"/>
    </row>
    <row r="9" spans="1:6" ht="12.75">
      <c r="A9" s="665"/>
      <c r="B9" s="388"/>
      <c r="F9" s="388"/>
    </row>
    <row r="11" spans="1:7" ht="15.75">
      <c r="A11" s="816" t="s">
        <v>877</v>
      </c>
      <c r="B11" s="817"/>
      <c r="C11" s="817"/>
      <c r="D11" s="817"/>
      <c r="E11" s="817"/>
      <c r="F11" s="817"/>
      <c r="G11" s="817"/>
    </row>
    <row r="13" spans="1:7" ht="14.25">
      <c r="A13" s="336" t="s">
        <v>499</v>
      </c>
      <c r="B13" s="813" t="s">
        <v>500</v>
      </c>
      <c r="C13" s="814"/>
      <c r="D13" s="814"/>
      <c r="E13" s="814"/>
      <c r="F13" s="814"/>
      <c r="G13" s="814"/>
    </row>
    <row r="14" spans="2:7" ht="14.25">
      <c r="B14" s="687"/>
      <c r="C14" s="650"/>
      <c r="D14" s="650"/>
      <c r="E14" s="650"/>
      <c r="F14" s="650"/>
      <c r="G14" s="650"/>
    </row>
    <row r="15" spans="1:7" ht="14.25">
      <c r="A15" s="336" t="s">
        <v>501</v>
      </c>
      <c r="B15" s="813" t="s">
        <v>502</v>
      </c>
      <c r="C15" s="814"/>
      <c r="D15" s="814"/>
      <c r="E15" s="814"/>
      <c r="F15" s="814"/>
      <c r="G15" s="814"/>
    </row>
    <row r="16" spans="2:7" ht="14.25">
      <c r="B16" s="687"/>
      <c r="C16" s="650"/>
      <c r="D16" s="650"/>
      <c r="E16" s="650"/>
      <c r="F16" s="650"/>
      <c r="G16" s="650"/>
    </row>
    <row r="17" spans="1:7" ht="14.25">
      <c r="A17" s="336" t="s">
        <v>503</v>
      </c>
      <c r="B17" s="813" t="s">
        <v>504</v>
      </c>
      <c r="C17" s="814"/>
      <c r="D17" s="814"/>
      <c r="E17" s="814"/>
      <c r="F17" s="814"/>
      <c r="G17" s="814"/>
    </row>
    <row r="18" spans="2:7" ht="14.25">
      <c r="B18" s="687"/>
      <c r="C18" s="650"/>
      <c r="D18" s="650"/>
      <c r="E18" s="650"/>
      <c r="F18" s="650"/>
      <c r="G18" s="650"/>
    </row>
    <row r="19" spans="1:7" ht="14.25">
      <c r="A19" s="336" t="s">
        <v>505</v>
      </c>
      <c r="B19" s="813" t="s">
        <v>506</v>
      </c>
      <c r="C19" s="814"/>
      <c r="D19" s="814"/>
      <c r="E19" s="814"/>
      <c r="F19" s="814"/>
      <c r="G19" s="814"/>
    </row>
    <row r="20" spans="2:7" ht="14.25">
      <c r="B20" s="687"/>
      <c r="C20" s="650"/>
      <c r="D20" s="650"/>
      <c r="E20" s="650"/>
      <c r="F20" s="650"/>
      <c r="G20" s="650"/>
    </row>
    <row r="21" spans="1:7" ht="14.25">
      <c r="A21" s="336" t="s">
        <v>507</v>
      </c>
      <c r="B21" s="813" t="s">
        <v>508</v>
      </c>
      <c r="C21" s="814"/>
      <c r="D21" s="814"/>
      <c r="E21" s="814"/>
      <c r="F21" s="814"/>
      <c r="G21" s="814"/>
    </row>
    <row r="22" spans="2:7" ht="14.25">
      <c r="B22" s="687"/>
      <c r="C22" s="650"/>
      <c r="D22" s="650"/>
      <c r="E22" s="650"/>
      <c r="F22" s="650"/>
      <c r="G22" s="650"/>
    </row>
    <row r="23" spans="1:7" ht="14.25">
      <c r="A23" s="336" t="s">
        <v>509</v>
      </c>
      <c r="B23" s="813" t="s">
        <v>510</v>
      </c>
      <c r="C23" s="814"/>
      <c r="D23" s="814"/>
      <c r="E23" s="814"/>
      <c r="F23" s="814"/>
      <c r="G23" s="814"/>
    </row>
    <row r="24" spans="2:7" ht="14.25">
      <c r="B24" s="687"/>
      <c r="C24" s="650"/>
      <c r="D24" s="650"/>
      <c r="E24" s="650"/>
      <c r="F24" s="650"/>
      <c r="G24" s="650"/>
    </row>
    <row r="25" spans="1:7" ht="14.25">
      <c r="A25" s="336" t="s">
        <v>511</v>
      </c>
      <c r="B25" s="813" t="s">
        <v>512</v>
      </c>
      <c r="C25" s="814"/>
      <c r="D25" s="814"/>
      <c r="E25" s="814"/>
      <c r="F25" s="814"/>
      <c r="G25" s="814"/>
    </row>
    <row r="26" spans="2:7" ht="14.25">
      <c r="B26" s="687"/>
      <c r="C26" s="650"/>
      <c r="D26" s="650"/>
      <c r="E26" s="650"/>
      <c r="F26" s="650"/>
      <c r="G26" s="650"/>
    </row>
    <row r="27" spans="1:7" ht="14.25">
      <c r="A27" s="336" t="s">
        <v>513</v>
      </c>
      <c r="B27" s="813" t="s">
        <v>514</v>
      </c>
      <c r="C27" s="814"/>
      <c r="D27" s="814"/>
      <c r="E27" s="814"/>
      <c r="F27" s="814"/>
      <c r="G27" s="814"/>
    </row>
    <row r="28" spans="2:7" ht="14.25">
      <c r="B28" s="687"/>
      <c r="C28" s="650"/>
      <c r="D28" s="650"/>
      <c r="E28" s="650"/>
      <c r="F28" s="650"/>
      <c r="G28" s="650"/>
    </row>
    <row r="29" spans="1:7" ht="14.25">
      <c r="A29" s="336" t="s">
        <v>513</v>
      </c>
      <c r="B29" s="813" t="s">
        <v>515</v>
      </c>
      <c r="C29" s="814"/>
      <c r="D29" s="814"/>
      <c r="E29" s="814"/>
      <c r="F29" s="814"/>
      <c r="G29" s="814"/>
    </row>
    <row r="30" spans="2:7" ht="14.25">
      <c r="B30" s="687"/>
      <c r="C30" s="650"/>
      <c r="D30" s="650"/>
      <c r="E30" s="650"/>
      <c r="F30" s="650"/>
      <c r="G30" s="650"/>
    </row>
    <row r="31" spans="1:7" ht="14.25">
      <c r="A31" s="336" t="s">
        <v>516</v>
      </c>
      <c r="B31" s="813" t="s">
        <v>517</v>
      </c>
      <c r="C31" s="814"/>
      <c r="D31" s="814"/>
      <c r="E31" s="814"/>
      <c r="F31" s="814"/>
      <c r="G31" s="814"/>
    </row>
  </sheetData>
  <sheetProtection selectLockedCells="1" selectUnlockedCells="1"/>
  <mergeCells count="13">
    <mergeCell ref="A2:F2"/>
    <mergeCell ref="A11:G11"/>
    <mergeCell ref="A3:G3"/>
    <mergeCell ref="B13:G13"/>
    <mergeCell ref="B15:G15"/>
    <mergeCell ref="B17:G17"/>
    <mergeCell ref="B31:G31"/>
    <mergeCell ref="B19:G19"/>
    <mergeCell ref="B21:G21"/>
    <mergeCell ref="B23:G23"/>
    <mergeCell ref="B25:G25"/>
    <mergeCell ref="B27:G27"/>
    <mergeCell ref="B29:G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"/>
  <sheetViews>
    <sheetView zoomScale="120" zoomScaleNormal="120" workbookViewId="0" topLeftCell="A1">
      <selection activeCell="D24" sqref="D24"/>
    </sheetView>
  </sheetViews>
  <sheetFormatPr defaultColWidth="9.00390625" defaultRowHeight="12.75"/>
  <cols>
    <col min="1" max="1" width="7.00390625" style="674" customWidth="1"/>
    <col min="2" max="2" width="32.00390625" style="90" customWidth="1"/>
    <col min="3" max="3" width="12.50390625" style="90" customWidth="1"/>
    <col min="4" max="6" width="11.875" style="90" customWidth="1"/>
    <col min="7" max="7" width="12.875" style="90" customWidth="1"/>
    <col min="8" max="9" width="10.875" style="90" bestFit="1" customWidth="1"/>
    <col min="10" max="16384" width="9.375" style="90" customWidth="1"/>
  </cols>
  <sheetData>
    <row r="1" spans="1:7" ht="18.75" customHeight="1">
      <c r="A1" s="885" t="str">
        <f>CONCATENATE("7. melléklet ",Z_ALAPADATOK!A7," ",Z_ALAPADATOK!B7," ",Z_ALAPADATOK!C7," ",Z_ALAPADATOK!D7," ",Z_ALAPADATOK!E7," ",Z_ALAPADATOK!F7," ",Z_ALAPADATOK!G7," ",Z_ALAPADATOK!H7)</f>
        <v>7. melléklet a 12 / 2020. ( VII.16. ) önkormányzati rendelethez</v>
      </c>
      <c r="B1" s="886"/>
      <c r="C1" s="886"/>
      <c r="D1" s="886"/>
      <c r="E1" s="886"/>
      <c r="F1" s="886"/>
      <c r="G1" s="886"/>
    </row>
    <row r="3" spans="1:7" ht="15.75">
      <c r="A3" s="883" t="s">
        <v>862</v>
      </c>
      <c r="B3" s="884"/>
      <c r="C3" s="884"/>
      <c r="D3" s="884"/>
      <c r="E3" s="884"/>
      <c r="F3" s="884"/>
      <c r="G3" s="884"/>
    </row>
    <row r="5" ht="14.25" thickBot="1">
      <c r="G5" s="675" t="s">
        <v>866</v>
      </c>
    </row>
    <row r="6" spans="1:7" ht="17.25" customHeight="1" thickBot="1">
      <c r="A6" s="887" t="s">
        <v>4</v>
      </c>
      <c r="B6" s="889" t="s">
        <v>854</v>
      </c>
      <c r="C6" s="889" t="s">
        <v>855</v>
      </c>
      <c r="D6" s="889" t="s">
        <v>856</v>
      </c>
      <c r="E6" s="891" t="s">
        <v>857</v>
      </c>
      <c r="F6" s="891"/>
      <c r="G6" s="892"/>
    </row>
    <row r="7" spans="1:7" s="678" customFormat="1" ht="57.75" customHeight="1" thickBot="1">
      <c r="A7" s="888"/>
      <c r="B7" s="890"/>
      <c r="C7" s="890"/>
      <c r="D7" s="890"/>
      <c r="E7" s="676" t="s">
        <v>858</v>
      </c>
      <c r="F7" s="676" t="s">
        <v>859</v>
      </c>
      <c r="G7" s="677" t="s">
        <v>860</v>
      </c>
    </row>
    <row r="8" spans="1:7" s="215" customFormat="1" ht="15" customHeight="1" thickBot="1">
      <c r="A8" s="72" t="s">
        <v>387</v>
      </c>
      <c r="B8" s="73" t="s">
        <v>388</v>
      </c>
      <c r="C8" s="73" t="s">
        <v>389</v>
      </c>
      <c r="D8" s="73" t="s">
        <v>391</v>
      </c>
      <c r="E8" s="73" t="s">
        <v>861</v>
      </c>
      <c r="F8" s="73" t="s">
        <v>392</v>
      </c>
      <c r="G8" s="74" t="s">
        <v>393</v>
      </c>
    </row>
    <row r="9" spans="1:8" ht="15" customHeight="1">
      <c r="A9" s="679" t="s">
        <v>6</v>
      </c>
      <c r="B9" s="680" t="s">
        <v>876</v>
      </c>
      <c r="C9" s="681">
        <v>356704083</v>
      </c>
      <c r="D9" s="681"/>
      <c r="E9" s="682">
        <f aca="true" t="shared" si="0" ref="E9:E14">C9+D9</f>
        <v>356704083</v>
      </c>
      <c r="F9" s="681">
        <v>40687182</v>
      </c>
      <c r="G9" s="683">
        <v>316016901</v>
      </c>
      <c r="H9" s="32"/>
    </row>
    <row r="10" spans="1:7" ht="15" customHeight="1">
      <c r="A10" s="684" t="s">
        <v>7</v>
      </c>
      <c r="B10" s="685" t="s">
        <v>877</v>
      </c>
      <c r="C10" s="21">
        <v>3763410</v>
      </c>
      <c r="D10" s="21"/>
      <c r="E10" s="682">
        <f t="shared" si="0"/>
        <v>3763410</v>
      </c>
      <c r="F10" s="21">
        <v>3763410</v>
      </c>
      <c r="G10" s="477">
        <v>0</v>
      </c>
    </row>
    <row r="11" spans="1:7" ht="15" customHeight="1">
      <c r="A11" s="684" t="s">
        <v>8</v>
      </c>
      <c r="B11" s="685"/>
      <c r="C11" s="21"/>
      <c r="D11" s="21"/>
      <c r="E11" s="682">
        <f t="shared" si="0"/>
        <v>0</v>
      </c>
      <c r="F11" s="21"/>
      <c r="G11" s="477"/>
    </row>
    <row r="12" spans="1:7" ht="15" customHeight="1">
      <c r="A12" s="684" t="s">
        <v>9</v>
      </c>
      <c r="B12" s="685"/>
      <c r="C12" s="21"/>
      <c r="D12" s="21"/>
      <c r="E12" s="682">
        <f t="shared" si="0"/>
        <v>0</v>
      </c>
      <c r="F12" s="21"/>
      <c r="G12" s="477"/>
    </row>
    <row r="13" spans="1:7" ht="15" customHeight="1">
      <c r="A13" s="684" t="s">
        <v>10</v>
      </c>
      <c r="B13" s="685"/>
      <c r="C13" s="21"/>
      <c r="D13" s="21"/>
      <c r="E13" s="682">
        <f t="shared" si="0"/>
        <v>0</v>
      </c>
      <c r="F13" s="21"/>
      <c r="G13" s="477"/>
    </row>
    <row r="14" spans="1:7" ht="15" customHeight="1" thickBot="1">
      <c r="A14" s="684" t="s">
        <v>11</v>
      </c>
      <c r="B14" s="685"/>
      <c r="C14" s="21"/>
      <c r="D14" s="21"/>
      <c r="E14" s="682">
        <f t="shared" si="0"/>
        <v>0</v>
      </c>
      <c r="F14" s="21"/>
      <c r="G14" s="477"/>
    </row>
    <row r="15" spans="1:9" ht="15" customHeight="1" thickBot="1">
      <c r="A15" s="881" t="s">
        <v>38</v>
      </c>
      <c r="B15" s="882"/>
      <c r="C15" s="34">
        <f>SUM(C9:C14)</f>
        <v>360467493</v>
      </c>
      <c r="D15" s="34">
        <f>SUM(D9:D14)</f>
        <v>0</v>
      </c>
      <c r="E15" s="34">
        <f>SUM(E9:E14)</f>
        <v>360467493</v>
      </c>
      <c r="F15" s="34">
        <f>SUM(F9:F14)</f>
        <v>44450592</v>
      </c>
      <c r="G15" s="35">
        <f>SUM(G9:G14)</f>
        <v>316016901</v>
      </c>
      <c r="H15" s="32"/>
      <c r="I15" s="32"/>
    </row>
  </sheetData>
  <sheetProtection selectLockedCells="1" selectUnlockedCells="1"/>
  <mergeCells count="8">
    <mergeCell ref="A15:B15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zoomScale="120" zoomScaleNormal="120" zoomScalePageLayoutView="120" workbookViewId="0" topLeftCell="A10">
      <selection activeCell="E30" sqref="E30"/>
    </sheetView>
  </sheetViews>
  <sheetFormatPr defaultColWidth="9.00390625" defaultRowHeight="12.75"/>
  <cols>
    <col min="1" max="1" width="26.375" style="30" customWidth="1"/>
    <col min="2" max="2" width="88.625" style="30" customWidth="1"/>
    <col min="3" max="5" width="15.875" style="30" customWidth="1"/>
    <col min="6" max="6" width="4.875" style="673" customWidth="1"/>
    <col min="7" max="7" width="41.50390625" style="30" customWidth="1"/>
    <col min="8" max="16384" width="9.375" style="30" customWidth="1"/>
  </cols>
  <sheetData>
    <row r="1" spans="2:6" ht="47.25" customHeight="1">
      <c r="B1" s="893" t="s">
        <v>916</v>
      </c>
      <c r="C1" s="893"/>
      <c r="D1" s="893"/>
      <c r="E1" s="893"/>
      <c r="F1" s="894" t="str">
        <f>CONCATENATE("8. melléklet ",Z_ALAPADATOK!A7," ",Z_ALAPADATOK!B7," ",Z_ALAPADATOK!C7," ",Z_ALAPADATOK!D7," ",Z_ALAPADATOK!E7," ",Z_ALAPADATOK!F7," ",Z_ALAPADATOK!G7," ",Z_ALAPADATOK!H7)</f>
        <v>8. melléklet a 12 / 2020. ( VII.16. ) önkormányzati rendelethez</v>
      </c>
    </row>
    <row r="2" spans="2:6" ht="22.5" customHeight="1" thickBot="1">
      <c r="B2" s="895"/>
      <c r="C2" s="895"/>
      <c r="D2" s="895"/>
      <c r="E2" s="670" t="s">
        <v>850</v>
      </c>
      <c r="F2" s="894"/>
    </row>
    <row r="3" spans="1:6" s="31" customFormat="1" ht="54" customHeight="1" thickBot="1">
      <c r="A3" s="770" t="s">
        <v>930</v>
      </c>
      <c r="B3" s="771" t="s">
        <v>851</v>
      </c>
      <c r="C3" s="772" t="str">
        <f>+CONCATENATE(Z_ALAPADATOK!B1,". évi tervezett támogatás összesen")</f>
        <v>2019. évi tervezett támogatás összesen</v>
      </c>
      <c r="D3" s="772" t="s">
        <v>852</v>
      </c>
      <c r="E3" s="773" t="s">
        <v>853</v>
      </c>
      <c r="F3" s="894"/>
    </row>
    <row r="4" spans="1:6" s="671" customFormat="1" ht="13.5" thickBot="1">
      <c r="A4" s="774" t="s">
        <v>387</v>
      </c>
      <c r="B4" s="768" t="s">
        <v>388</v>
      </c>
      <c r="C4" s="769" t="s">
        <v>389</v>
      </c>
      <c r="D4" s="768" t="s">
        <v>391</v>
      </c>
      <c r="E4" s="769" t="s">
        <v>390</v>
      </c>
      <c r="F4" s="894"/>
    </row>
    <row r="5" spans="1:6" ht="12.75">
      <c r="A5" s="781" t="s">
        <v>933</v>
      </c>
      <c r="B5" s="782" t="s">
        <v>934</v>
      </c>
      <c r="C5" s="783">
        <v>41499000</v>
      </c>
      <c r="D5" s="783">
        <v>43044525</v>
      </c>
      <c r="E5" s="784">
        <v>43044525</v>
      </c>
      <c r="F5" s="894"/>
    </row>
    <row r="6" spans="1:6" ht="12.75">
      <c r="A6" s="785" t="s">
        <v>935</v>
      </c>
      <c r="B6" s="786" t="s">
        <v>936</v>
      </c>
      <c r="C6" s="787">
        <v>3612600</v>
      </c>
      <c r="D6" s="787">
        <v>3612600</v>
      </c>
      <c r="E6" s="788">
        <v>3612600</v>
      </c>
      <c r="F6" s="894"/>
    </row>
    <row r="7" spans="1:6" ht="12.75">
      <c r="A7" s="785" t="s">
        <v>937</v>
      </c>
      <c r="B7" s="786" t="s">
        <v>938</v>
      </c>
      <c r="C7" s="787">
        <v>4224000</v>
      </c>
      <c r="D7" s="787">
        <v>4224000</v>
      </c>
      <c r="E7" s="788">
        <v>4224000</v>
      </c>
      <c r="F7" s="894"/>
    </row>
    <row r="8" spans="1:6" ht="12.75">
      <c r="A8" s="785" t="s">
        <v>939</v>
      </c>
      <c r="B8" s="786" t="s">
        <v>940</v>
      </c>
      <c r="C8" s="787">
        <v>100000</v>
      </c>
      <c r="D8" s="787">
        <v>100000</v>
      </c>
      <c r="E8" s="788">
        <v>100000</v>
      </c>
      <c r="F8" s="894"/>
    </row>
    <row r="9" spans="1:6" ht="12.75">
      <c r="A9" s="785" t="s">
        <v>941</v>
      </c>
      <c r="B9" s="786" t="s">
        <v>942</v>
      </c>
      <c r="C9" s="787">
        <v>3813600</v>
      </c>
      <c r="D9" s="787">
        <v>3813600</v>
      </c>
      <c r="E9" s="788">
        <v>3813600</v>
      </c>
      <c r="F9" s="894"/>
    </row>
    <row r="10" spans="1:6" ht="12.75">
      <c r="A10" s="785" t="s">
        <v>943</v>
      </c>
      <c r="B10" s="789" t="s">
        <v>944</v>
      </c>
      <c r="C10" s="787">
        <f>SUM(C6:C9)</f>
        <v>11750200</v>
      </c>
      <c r="D10" s="787">
        <f>SUM(D6:D9)</f>
        <v>11750200</v>
      </c>
      <c r="E10" s="788">
        <f>SUM(E6:E9)</f>
        <v>11750200</v>
      </c>
      <c r="F10" s="894"/>
    </row>
    <row r="11" spans="1:6" ht="12.75">
      <c r="A11" s="785" t="s">
        <v>890</v>
      </c>
      <c r="B11" s="789" t="s">
        <v>945</v>
      </c>
      <c r="C11" s="787">
        <v>6000000</v>
      </c>
      <c r="D11" s="787">
        <v>6000000</v>
      </c>
      <c r="E11" s="788">
        <v>6000000</v>
      </c>
      <c r="F11" s="894"/>
    </row>
    <row r="12" spans="1:7" ht="12.75">
      <c r="A12" s="785" t="s">
        <v>890</v>
      </c>
      <c r="B12" s="789" t="s">
        <v>946</v>
      </c>
      <c r="C12" s="787">
        <v>-958524</v>
      </c>
      <c r="D12" s="787">
        <v>-958524</v>
      </c>
      <c r="E12" s="788">
        <v>-958524</v>
      </c>
      <c r="F12" s="894"/>
      <c r="G12" s="805"/>
    </row>
    <row r="13" spans="1:6" ht="12.75">
      <c r="A13" s="785" t="s">
        <v>947</v>
      </c>
      <c r="B13" s="789" t="s">
        <v>948</v>
      </c>
      <c r="C13" s="787">
        <v>201450</v>
      </c>
      <c r="D13" s="787">
        <v>201450</v>
      </c>
      <c r="E13" s="788">
        <v>201450</v>
      </c>
      <c r="F13" s="894"/>
    </row>
    <row r="14" spans="1:6" ht="12.75">
      <c r="A14" s="785"/>
      <c r="B14" s="789" t="s">
        <v>979</v>
      </c>
      <c r="C14" s="787"/>
      <c r="D14" s="787">
        <v>827625</v>
      </c>
      <c r="E14" s="788">
        <v>827625</v>
      </c>
      <c r="F14" s="894"/>
    </row>
    <row r="15" spans="1:6" ht="12.75">
      <c r="A15" s="785" t="s">
        <v>949</v>
      </c>
      <c r="B15" s="789" t="s">
        <v>950</v>
      </c>
      <c r="C15" s="787">
        <v>560300</v>
      </c>
      <c r="D15" s="787">
        <v>560300</v>
      </c>
      <c r="E15" s="788">
        <v>560300</v>
      </c>
      <c r="F15" s="894"/>
    </row>
    <row r="16" spans="1:6" ht="12.75">
      <c r="A16" s="790"/>
      <c r="B16" s="789" t="s">
        <v>951</v>
      </c>
      <c r="C16" s="791">
        <f>SUM(C10:C15)+C5</f>
        <v>59052426</v>
      </c>
      <c r="D16" s="791">
        <f>SUM(D10:D15)+D5</f>
        <v>61425576</v>
      </c>
      <c r="E16" s="792">
        <f>SUM(E10:E15)+E5</f>
        <v>61425576</v>
      </c>
      <c r="F16" s="894"/>
    </row>
    <row r="17" spans="1:6" ht="12.75">
      <c r="A17" s="793" t="s">
        <v>952</v>
      </c>
      <c r="B17" s="794" t="s">
        <v>953</v>
      </c>
      <c r="C17" s="787">
        <v>33806266</v>
      </c>
      <c r="D17" s="787">
        <v>32494817</v>
      </c>
      <c r="E17" s="787">
        <v>32494817</v>
      </c>
      <c r="F17" s="894"/>
    </row>
    <row r="18" spans="1:6" ht="12.75">
      <c r="A18" s="793" t="s">
        <v>954</v>
      </c>
      <c r="B18" s="794" t="s">
        <v>955</v>
      </c>
      <c r="C18" s="787">
        <v>8820000</v>
      </c>
      <c r="D18" s="787">
        <v>9600000</v>
      </c>
      <c r="E18" s="787">
        <v>9600000</v>
      </c>
      <c r="F18" s="894"/>
    </row>
    <row r="19" spans="1:6" ht="12.75">
      <c r="A19" s="785" t="s">
        <v>956</v>
      </c>
      <c r="B19" s="789" t="s">
        <v>957</v>
      </c>
      <c r="C19" s="787">
        <v>7564733</v>
      </c>
      <c r="D19" s="787">
        <v>7402400</v>
      </c>
      <c r="E19" s="787">
        <v>7402400</v>
      </c>
      <c r="F19" s="894"/>
    </row>
    <row r="20" spans="1:6" ht="12.75">
      <c r="A20" s="790" t="s">
        <v>958</v>
      </c>
      <c r="B20" s="795" t="s">
        <v>959</v>
      </c>
      <c r="C20" s="787">
        <v>4914000</v>
      </c>
      <c r="D20" s="787">
        <v>4725000</v>
      </c>
      <c r="E20" s="787">
        <v>4725000</v>
      </c>
      <c r="F20" s="894"/>
    </row>
    <row r="21" spans="1:6" ht="12.75">
      <c r="A21" s="790" t="s">
        <v>960</v>
      </c>
      <c r="B21" s="795" t="s">
        <v>961</v>
      </c>
      <c r="C21" s="787">
        <v>396700</v>
      </c>
      <c r="D21" s="787">
        <v>760342</v>
      </c>
      <c r="E21" s="787">
        <v>760342</v>
      </c>
      <c r="F21" s="894"/>
    </row>
    <row r="22" spans="1:6" ht="12.75">
      <c r="A22" s="790" t="s">
        <v>962</v>
      </c>
      <c r="B22" s="795" t="s">
        <v>963</v>
      </c>
      <c r="C22" s="787">
        <v>1689000</v>
      </c>
      <c r="D22" s="787">
        <v>1689000</v>
      </c>
      <c r="E22" s="787">
        <v>1689000</v>
      </c>
      <c r="F22" s="894"/>
    </row>
    <row r="23" spans="1:6" ht="12.75">
      <c r="A23" s="790"/>
      <c r="B23" s="795" t="s">
        <v>964</v>
      </c>
      <c r="C23" s="791">
        <f>SUM(C17:C22)</f>
        <v>57190699</v>
      </c>
      <c r="D23" s="791">
        <f>SUM(D17:D22)</f>
        <v>56671559</v>
      </c>
      <c r="E23" s="792">
        <f>SUM(E17:E22)</f>
        <v>56671559</v>
      </c>
      <c r="F23" s="894"/>
    </row>
    <row r="24" spans="1:6" ht="12.75">
      <c r="A24" s="790" t="s">
        <v>965</v>
      </c>
      <c r="B24" s="795" t="s">
        <v>966</v>
      </c>
      <c r="C24" s="787">
        <v>9100000</v>
      </c>
      <c r="D24" s="787">
        <v>9100000</v>
      </c>
      <c r="E24" s="788">
        <v>9100000</v>
      </c>
      <c r="F24" s="894"/>
    </row>
    <row r="25" spans="1:6" s="672" customFormat="1" ht="19.5" customHeight="1">
      <c r="A25" s="790" t="s">
        <v>967</v>
      </c>
      <c r="B25" s="795" t="s">
        <v>968</v>
      </c>
      <c r="C25" s="787">
        <v>3100000</v>
      </c>
      <c r="D25" s="787">
        <v>4363918</v>
      </c>
      <c r="E25" s="788">
        <v>4363918</v>
      </c>
      <c r="F25" s="894"/>
    </row>
    <row r="26" spans="1:5" ht="12.75">
      <c r="A26" s="790" t="s">
        <v>969</v>
      </c>
      <c r="B26" s="795" t="s">
        <v>970</v>
      </c>
      <c r="C26" s="787">
        <v>15542000</v>
      </c>
      <c r="D26" s="787">
        <v>15314000</v>
      </c>
      <c r="E26" s="788">
        <v>15314000</v>
      </c>
    </row>
    <row r="27" spans="1:5" ht="12.75">
      <c r="A27" s="790" t="s">
        <v>969</v>
      </c>
      <c r="B27" s="795" t="s">
        <v>970</v>
      </c>
      <c r="C27" s="787"/>
      <c r="D27" s="787">
        <v>1636000</v>
      </c>
      <c r="E27" s="788">
        <v>1636000</v>
      </c>
    </row>
    <row r="28" spans="1:7" ht="12.75">
      <c r="A28" s="790" t="s">
        <v>971</v>
      </c>
      <c r="B28" s="795" t="s">
        <v>972</v>
      </c>
      <c r="C28" s="787">
        <v>27407077</v>
      </c>
      <c r="D28" s="787">
        <v>26298872</v>
      </c>
      <c r="E28" s="788">
        <v>26298872</v>
      </c>
      <c r="G28" s="805"/>
    </row>
    <row r="29" spans="1:5" ht="12.75">
      <c r="A29" s="790" t="s">
        <v>973</v>
      </c>
      <c r="B29" s="795" t="s">
        <v>974</v>
      </c>
      <c r="C29" s="787">
        <v>647520</v>
      </c>
      <c r="D29" s="787">
        <v>604200</v>
      </c>
      <c r="E29" s="788">
        <v>604200</v>
      </c>
    </row>
    <row r="30" spans="1:5" ht="12.75">
      <c r="A30" s="790"/>
      <c r="B30" s="795" t="s">
        <v>975</v>
      </c>
      <c r="C30" s="796"/>
      <c r="D30" s="796"/>
      <c r="E30" s="797"/>
    </row>
    <row r="31" spans="1:5" ht="12.75">
      <c r="A31" s="790"/>
      <c r="B31" s="795"/>
      <c r="C31" s="798">
        <f>SUM(C24:C29)</f>
        <v>55796597</v>
      </c>
      <c r="D31" s="798">
        <f>SUM(D24:D30)</f>
        <v>57316990</v>
      </c>
      <c r="E31" s="799">
        <f>SUM(E24:E30)</f>
        <v>57316990</v>
      </c>
    </row>
    <row r="32" spans="1:5" ht="12.75">
      <c r="A32" s="790" t="s">
        <v>976</v>
      </c>
      <c r="B32" s="795" t="s">
        <v>977</v>
      </c>
      <c r="C32" s="798">
        <v>1800000</v>
      </c>
      <c r="D32" s="808">
        <v>1800000</v>
      </c>
      <c r="E32" s="809">
        <v>1800000</v>
      </c>
    </row>
    <row r="33" spans="1:5" ht="12.75">
      <c r="A33" s="803"/>
      <c r="B33" s="804" t="s">
        <v>981</v>
      </c>
      <c r="C33" s="796"/>
      <c r="D33" s="800">
        <v>7240000</v>
      </c>
      <c r="E33" s="801">
        <v>7240000</v>
      </c>
    </row>
    <row r="34" spans="1:5" ht="12.75">
      <c r="A34" s="803"/>
      <c r="B34" s="804" t="s">
        <v>980</v>
      </c>
      <c r="C34" s="796"/>
      <c r="D34" s="800">
        <v>1727200</v>
      </c>
      <c r="E34" s="801">
        <v>1727200</v>
      </c>
    </row>
    <row r="35" spans="1:5" ht="12.75">
      <c r="A35" s="803"/>
      <c r="B35" s="804"/>
      <c r="C35" s="796"/>
      <c r="D35" s="808">
        <f>SUM(D33:D34)</f>
        <v>8967200</v>
      </c>
      <c r="E35" s="808">
        <f>SUM(E33:E34)</f>
        <v>8967200</v>
      </c>
    </row>
    <row r="36" spans="1:5" ht="12.75">
      <c r="A36" s="803"/>
      <c r="B36" s="804" t="s">
        <v>982</v>
      </c>
      <c r="C36" s="796"/>
      <c r="D36" s="800">
        <v>190460</v>
      </c>
      <c r="E36" s="801">
        <v>190460</v>
      </c>
    </row>
    <row r="37" spans="1:5" ht="13.5" thickBot="1">
      <c r="A37" s="802"/>
      <c r="B37" s="806" t="s">
        <v>978</v>
      </c>
      <c r="C37" s="807">
        <f>C16+C23+C31+C32+C35+C36</f>
        <v>173839722</v>
      </c>
      <c r="D37" s="807">
        <f>D16+D23+D31+D32+D35+D36</f>
        <v>186371785</v>
      </c>
      <c r="E37" s="807">
        <f>E16+E23+E31+E32+E35+E36</f>
        <v>186371785</v>
      </c>
    </row>
    <row r="39" ht="12.75">
      <c r="E39" s="810"/>
    </row>
  </sheetData>
  <sheetProtection selectLockedCells="1" selectUnlockedCells="1"/>
  <mergeCells count="3">
    <mergeCell ref="B1:E1"/>
    <mergeCell ref="F1:F25"/>
    <mergeCell ref="B2:D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zoomScale="120" zoomScaleNormal="120" zoomScaleSheetLayoutView="100" workbookViewId="0" topLeftCell="A27">
      <selection activeCell="G38" sqref="G38"/>
    </sheetView>
  </sheetViews>
  <sheetFormatPr defaultColWidth="9.00390625" defaultRowHeight="12.75"/>
  <cols>
    <col min="1" max="1" width="9.00390625" style="151" customWidth="1"/>
    <col min="2" max="2" width="68.875" style="151" customWidth="1"/>
    <col min="3" max="3" width="18.875" style="151" customWidth="1"/>
    <col min="4" max="5" width="18.875" style="152" customWidth="1"/>
    <col min="6" max="6" width="13.00390625" style="173" bestFit="1" customWidth="1"/>
    <col min="7" max="16384" width="9.375" style="173" customWidth="1"/>
  </cols>
  <sheetData>
    <row r="1" spans="1:5" ht="15.75">
      <c r="A1" s="827" t="str">
        <f>CONCATENATE("1. tájékoztató tábla ",Z_ALAPADATOK!A7," ",Z_ALAPADATOK!B7," ",Z_ALAPADATOK!C7," ",Z_ALAPADATOK!D7," ",Z_ALAPADATOK!E7," ",Z_ALAPADATOK!F7," ",Z_ALAPADATOK!G7," ",Z_ALAPADATOK!H7)</f>
        <v>1. tájékoztató tábla a 12 / 2020. ( VII.16. ) önkormányzati rendelethez</v>
      </c>
      <c r="B1" s="828"/>
      <c r="C1" s="828"/>
      <c r="D1" s="828"/>
      <c r="E1" s="828"/>
    </row>
    <row r="2" spans="1:5" ht="15.75">
      <c r="A2" s="829" t="str">
        <f>CONCATENATE(Z_ALAPADATOK!A3)</f>
        <v>Szalánta Községi Önkormányzat</v>
      </c>
      <c r="B2" s="830"/>
      <c r="C2" s="830"/>
      <c r="D2" s="830"/>
      <c r="E2" s="830"/>
    </row>
    <row r="3" spans="1:5" ht="15.75">
      <c r="A3" s="829" t="s">
        <v>780</v>
      </c>
      <c r="B3" s="830"/>
      <c r="C3" s="830"/>
      <c r="D3" s="830"/>
      <c r="E3" s="830"/>
    </row>
    <row r="4" spans="1:5" ht="15.75" customHeight="1">
      <c r="A4" s="823" t="s">
        <v>3</v>
      </c>
      <c r="B4" s="823"/>
      <c r="C4" s="823"/>
      <c r="D4" s="823"/>
      <c r="E4" s="823"/>
    </row>
    <row r="5" spans="1:5" ht="15.75" customHeight="1" thickBot="1">
      <c r="A5" s="615" t="s">
        <v>102</v>
      </c>
      <c r="B5" s="615"/>
      <c r="C5" s="615"/>
      <c r="D5" s="616"/>
      <c r="E5" s="689" t="s">
        <v>850</v>
      </c>
    </row>
    <row r="6" spans="1:5" ht="15.75" customHeight="1">
      <c r="A6" s="901" t="s">
        <v>52</v>
      </c>
      <c r="B6" s="903" t="s">
        <v>5</v>
      </c>
      <c r="C6" s="905" t="s">
        <v>917</v>
      </c>
      <c r="D6" s="907" t="s">
        <v>918</v>
      </c>
      <c r="E6" s="908"/>
    </row>
    <row r="7" spans="1:5" ht="37.5" customHeight="1" thickBot="1">
      <c r="A7" s="902"/>
      <c r="B7" s="904"/>
      <c r="C7" s="906"/>
      <c r="D7" s="617" t="s">
        <v>455</v>
      </c>
      <c r="E7" s="327" t="s">
        <v>443</v>
      </c>
    </row>
    <row r="8" spans="1:5" s="174" customFormat="1" ht="12" customHeight="1" thickBot="1">
      <c r="A8" s="618" t="s">
        <v>387</v>
      </c>
      <c r="B8" s="619" t="s">
        <v>388</v>
      </c>
      <c r="C8" s="619" t="s">
        <v>389</v>
      </c>
      <c r="D8" s="619" t="s">
        <v>390</v>
      </c>
      <c r="E8" s="620" t="s">
        <v>392</v>
      </c>
    </row>
    <row r="9" spans="1:5" s="175" customFormat="1" ht="12" customHeight="1" thickBot="1">
      <c r="A9" s="18" t="s">
        <v>6</v>
      </c>
      <c r="B9" s="390" t="s">
        <v>164</v>
      </c>
      <c r="C9" s="163">
        <f>+C10+C11+C12+C13+C14+C15</f>
        <v>176828522</v>
      </c>
      <c r="D9" s="249">
        <f>+D10+D11+D12+D13+D14+D15</f>
        <v>186371785</v>
      </c>
      <c r="E9" s="100">
        <f>+E10+E11+E12+E13+E14+E15</f>
        <v>186371785</v>
      </c>
    </row>
    <row r="10" spans="1:5" s="175" customFormat="1" ht="12" customHeight="1">
      <c r="A10" s="13" t="s">
        <v>64</v>
      </c>
      <c r="B10" s="391" t="s">
        <v>165</v>
      </c>
      <c r="C10" s="165">
        <v>59285601</v>
      </c>
      <c r="D10" s="250">
        <v>61425576</v>
      </c>
      <c r="E10" s="250">
        <v>61425576</v>
      </c>
    </row>
    <row r="11" spans="1:5" s="175" customFormat="1" ht="12" customHeight="1">
      <c r="A11" s="12" t="s">
        <v>65</v>
      </c>
      <c r="B11" s="392" t="s">
        <v>166</v>
      </c>
      <c r="C11" s="164">
        <v>55898733</v>
      </c>
      <c r="D11" s="251">
        <v>56671559</v>
      </c>
      <c r="E11" s="251">
        <v>56671559</v>
      </c>
    </row>
    <row r="12" spans="1:5" s="175" customFormat="1" ht="12" customHeight="1">
      <c r="A12" s="12" t="s">
        <v>66</v>
      </c>
      <c r="B12" s="392" t="s">
        <v>167</v>
      </c>
      <c r="C12" s="164">
        <v>55238370</v>
      </c>
      <c r="D12" s="251">
        <v>57316990</v>
      </c>
      <c r="E12" s="251">
        <v>57316990</v>
      </c>
    </row>
    <row r="13" spans="1:5" s="175" customFormat="1" ht="12" customHeight="1">
      <c r="A13" s="12" t="s">
        <v>67</v>
      </c>
      <c r="B13" s="392" t="s">
        <v>168</v>
      </c>
      <c r="C13" s="164">
        <v>1800000</v>
      </c>
      <c r="D13" s="251">
        <v>1800000</v>
      </c>
      <c r="E13" s="251">
        <v>1800000</v>
      </c>
    </row>
    <row r="14" spans="1:5" s="175" customFormat="1" ht="12" customHeight="1">
      <c r="A14" s="12" t="s">
        <v>99</v>
      </c>
      <c r="B14" s="392" t="s">
        <v>526</v>
      </c>
      <c r="C14" s="393">
        <v>3850362</v>
      </c>
      <c r="D14" s="251">
        <v>8967200</v>
      </c>
      <c r="E14" s="251">
        <v>8967200</v>
      </c>
    </row>
    <row r="15" spans="1:5" s="175" customFormat="1" ht="12" customHeight="1" thickBot="1">
      <c r="A15" s="14" t="s">
        <v>68</v>
      </c>
      <c r="B15" s="394" t="s">
        <v>527</v>
      </c>
      <c r="C15" s="395">
        <v>755456</v>
      </c>
      <c r="D15" s="251">
        <v>190460</v>
      </c>
      <c r="E15" s="251">
        <v>190460</v>
      </c>
    </row>
    <row r="16" spans="1:5" s="175" customFormat="1" ht="12" customHeight="1" thickBot="1">
      <c r="A16" s="18" t="s">
        <v>7</v>
      </c>
      <c r="B16" s="396" t="s">
        <v>169</v>
      </c>
      <c r="C16" s="163">
        <f>+C17+C18+C19+C20+C21</f>
        <v>27922723</v>
      </c>
      <c r="D16" s="249">
        <f>+D17+D18+D19+D20+D21</f>
        <v>27538645</v>
      </c>
      <c r="E16" s="100">
        <f>+E17+E18+E19+E20+E21</f>
        <v>28240568</v>
      </c>
    </row>
    <row r="17" spans="1:5" s="175" customFormat="1" ht="12" customHeight="1">
      <c r="A17" s="13" t="s">
        <v>70</v>
      </c>
      <c r="B17" s="391" t="s">
        <v>170</v>
      </c>
      <c r="C17" s="165"/>
      <c r="D17" s="250"/>
      <c r="E17" s="102"/>
    </row>
    <row r="18" spans="1:5" s="175" customFormat="1" ht="12" customHeight="1">
      <c r="A18" s="12" t="s">
        <v>71</v>
      </c>
      <c r="B18" s="392" t="s">
        <v>171</v>
      </c>
      <c r="C18" s="164"/>
      <c r="D18" s="251"/>
      <c r="E18" s="101"/>
    </row>
    <row r="19" spans="1:5" s="175" customFormat="1" ht="12" customHeight="1">
      <c r="A19" s="12" t="s">
        <v>72</v>
      </c>
      <c r="B19" s="392" t="s">
        <v>328</v>
      </c>
      <c r="C19" s="164"/>
      <c r="D19" s="251"/>
      <c r="E19" s="101"/>
    </row>
    <row r="20" spans="1:5" s="175" customFormat="1" ht="12" customHeight="1">
      <c r="A20" s="12" t="s">
        <v>73</v>
      </c>
      <c r="B20" s="392" t="s">
        <v>329</v>
      </c>
      <c r="C20" s="164"/>
      <c r="D20" s="251"/>
      <c r="E20" s="101"/>
    </row>
    <row r="21" spans="1:5" s="175" customFormat="1" ht="12" customHeight="1">
      <c r="A21" s="12" t="s">
        <v>74</v>
      </c>
      <c r="B21" s="392" t="s">
        <v>172</v>
      </c>
      <c r="C21" s="164">
        <v>27922723</v>
      </c>
      <c r="D21" s="251">
        <v>27538645</v>
      </c>
      <c r="E21" s="101">
        <v>28240568</v>
      </c>
    </row>
    <row r="22" spans="1:5" s="175" customFormat="1" ht="12" customHeight="1" thickBot="1">
      <c r="A22" s="14" t="s">
        <v>81</v>
      </c>
      <c r="B22" s="394" t="s">
        <v>173</v>
      </c>
      <c r="C22" s="166">
        <v>3360000</v>
      </c>
      <c r="D22" s="252">
        <v>4000000</v>
      </c>
      <c r="E22" s="103">
        <v>4000000</v>
      </c>
    </row>
    <row r="23" spans="1:5" s="175" customFormat="1" ht="12" customHeight="1" thickBot="1">
      <c r="A23" s="18" t="s">
        <v>8</v>
      </c>
      <c r="B23" s="390" t="s">
        <v>174</v>
      </c>
      <c r="C23" s="163">
        <f>+C24+C25+C26+C27+C28</f>
        <v>310595175</v>
      </c>
      <c r="D23" s="249">
        <f>+D24+D25+D26+D27+D28</f>
        <v>0</v>
      </c>
      <c r="E23" s="100">
        <f>+E24+E25+E26+E27+E28</f>
        <v>0</v>
      </c>
    </row>
    <row r="24" spans="1:5" s="175" customFormat="1" ht="12" customHeight="1">
      <c r="A24" s="13" t="s">
        <v>53</v>
      </c>
      <c r="B24" s="391" t="s">
        <v>175</v>
      </c>
      <c r="C24" s="165">
        <v>310516901</v>
      </c>
      <c r="D24" s="250"/>
      <c r="E24" s="102"/>
    </row>
    <row r="25" spans="1:5" s="175" customFormat="1" ht="12" customHeight="1">
      <c r="A25" s="12" t="s">
        <v>54</v>
      </c>
      <c r="B25" s="392" t="s">
        <v>176</v>
      </c>
      <c r="C25" s="164"/>
      <c r="D25" s="251"/>
      <c r="E25" s="101"/>
    </row>
    <row r="26" spans="1:5" s="175" customFormat="1" ht="12" customHeight="1">
      <c r="A26" s="12" t="s">
        <v>55</v>
      </c>
      <c r="B26" s="392" t="s">
        <v>330</v>
      </c>
      <c r="C26" s="164"/>
      <c r="D26" s="251"/>
      <c r="E26" s="101"/>
    </row>
    <row r="27" spans="1:5" s="175" customFormat="1" ht="12" customHeight="1">
      <c r="A27" s="12" t="s">
        <v>56</v>
      </c>
      <c r="B27" s="392" t="s">
        <v>331</v>
      </c>
      <c r="C27" s="164"/>
      <c r="D27" s="251"/>
      <c r="E27" s="101"/>
    </row>
    <row r="28" spans="1:5" s="175" customFormat="1" ht="12" customHeight="1">
      <c r="A28" s="12" t="s">
        <v>112</v>
      </c>
      <c r="B28" s="392" t="s">
        <v>177</v>
      </c>
      <c r="C28" s="164">
        <v>78274</v>
      </c>
      <c r="D28" s="251"/>
      <c r="E28" s="101"/>
    </row>
    <row r="29" spans="1:5" s="175" customFormat="1" ht="12" customHeight="1" thickBot="1">
      <c r="A29" s="14" t="s">
        <v>113</v>
      </c>
      <c r="B29" s="394" t="s">
        <v>178</v>
      </c>
      <c r="C29" s="166">
        <v>0</v>
      </c>
      <c r="D29" s="252"/>
      <c r="E29" s="103"/>
    </row>
    <row r="30" spans="1:5" s="175" customFormat="1" ht="12" customHeight="1" thickBot="1">
      <c r="A30" s="24" t="s">
        <v>114</v>
      </c>
      <c r="B30" s="19" t="s">
        <v>528</v>
      </c>
      <c r="C30" s="169">
        <f>SUM(C31:C38)</f>
        <v>27385466</v>
      </c>
      <c r="D30" s="169">
        <f>SUM(D31:D38)</f>
        <v>23500000</v>
      </c>
      <c r="E30" s="205">
        <f>SUM(E31:E38)</f>
        <v>30914145</v>
      </c>
    </row>
    <row r="31" spans="1:5" s="175" customFormat="1" ht="12" customHeight="1">
      <c r="A31" s="193" t="s">
        <v>179</v>
      </c>
      <c r="B31" s="176" t="s">
        <v>882</v>
      </c>
      <c r="C31" s="165">
        <v>10250</v>
      </c>
      <c r="D31" s="165"/>
      <c r="E31" s="102"/>
    </row>
    <row r="32" spans="1:5" s="175" customFormat="1" ht="12" customHeight="1">
      <c r="A32" s="193" t="s">
        <v>879</v>
      </c>
      <c r="B32" s="176" t="s">
        <v>878</v>
      </c>
      <c r="C32" s="165">
        <v>2241446</v>
      </c>
      <c r="D32" s="165">
        <v>2100000</v>
      </c>
      <c r="E32" s="102">
        <v>2565863</v>
      </c>
    </row>
    <row r="33" spans="1:5" s="175" customFormat="1" ht="12" customHeight="1">
      <c r="A33" s="194" t="s">
        <v>181</v>
      </c>
      <c r="B33" s="177" t="s">
        <v>883</v>
      </c>
      <c r="C33" s="164">
        <v>47757</v>
      </c>
      <c r="D33" s="164"/>
      <c r="E33" s="101"/>
    </row>
    <row r="34" spans="1:5" s="175" customFormat="1" ht="12" customHeight="1">
      <c r="A34" s="194" t="s">
        <v>182</v>
      </c>
      <c r="B34" s="177" t="s">
        <v>483</v>
      </c>
      <c r="C34" s="164">
        <v>20368760</v>
      </c>
      <c r="D34" s="164">
        <v>17000000</v>
      </c>
      <c r="E34" s="101">
        <v>23747296</v>
      </c>
    </row>
    <row r="35" spans="1:5" s="175" customFormat="1" ht="12" customHeight="1">
      <c r="A35" s="194" t="s">
        <v>880</v>
      </c>
      <c r="B35" s="177" t="s">
        <v>484</v>
      </c>
      <c r="C35" s="164"/>
      <c r="D35" s="164"/>
      <c r="E35" s="101"/>
    </row>
    <row r="36" spans="1:5" s="175" customFormat="1" ht="12" customHeight="1">
      <c r="A36" s="194" t="s">
        <v>486</v>
      </c>
      <c r="B36" s="177" t="s">
        <v>183</v>
      </c>
      <c r="C36" s="164">
        <v>4213950</v>
      </c>
      <c r="D36" s="164">
        <v>4000000</v>
      </c>
      <c r="E36" s="101">
        <v>4367476</v>
      </c>
    </row>
    <row r="37" spans="1:5" s="175" customFormat="1" ht="12" customHeight="1">
      <c r="A37" s="194" t="s">
        <v>487</v>
      </c>
      <c r="B37" s="177" t="s">
        <v>184</v>
      </c>
      <c r="C37" s="164"/>
      <c r="D37" s="164"/>
      <c r="E37" s="101"/>
    </row>
    <row r="38" spans="1:5" s="175" customFormat="1" ht="12" customHeight="1" thickBot="1">
      <c r="A38" s="195" t="s">
        <v>881</v>
      </c>
      <c r="B38" s="109" t="s">
        <v>185</v>
      </c>
      <c r="C38" s="166">
        <v>503303</v>
      </c>
      <c r="D38" s="166">
        <v>400000</v>
      </c>
      <c r="E38" s="103">
        <v>233510</v>
      </c>
    </row>
    <row r="39" spans="1:5" s="175" customFormat="1" ht="12" customHeight="1" thickBot="1">
      <c r="A39" s="18" t="s">
        <v>10</v>
      </c>
      <c r="B39" s="390" t="s">
        <v>529</v>
      </c>
      <c r="C39" s="163">
        <f>SUM(C40:C49)</f>
        <v>8509836</v>
      </c>
      <c r="D39" s="163">
        <f>SUM(D40:D49)</f>
        <v>8598500</v>
      </c>
      <c r="E39" s="163">
        <f>SUM(E40:E49)</f>
        <v>10136830</v>
      </c>
    </row>
    <row r="40" spans="1:5" s="175" customFormat="1" ht="12" customHeight="1">
      <c r="A40" s="13" t="s">
        <v>57</v>
      </c>
      <c r="B40" s="391" t="s">
        <v>188</v>
      </c>
      <c r="C40" s="165">
        <v>14173</v>
      </c>
      <c r="D40" s="250"/>
      <c r="E40" s="102"/>
    </row>
    <row r="41" spans="1:5" s="175" customFormat="1" ht="12" customHeight="1">
      <c r="A41" s="12" t="s">
        <v>58</v>
      </c>
      <c r="B41" s="392" t="s">
        <v>189</v>
      </c>
      <c r="C41" s="164">
        <v>1444550</v>
      </c>
      <c r="D41" s="164">
        <v>1170000</v>
      </c>
      <c r="E41" s="101">
        <v>1598519</v>
      </c>
    </row>
    <row r="42" spans="1:5" s="175" customFormat="1" ht="12" customHeight="1">
      <c r="A42" s="12" t="s">
        <v>59</v>
      </c>
      <c r="B42" s="392" t="s">
        <v>190</v>
      </c>
      <c r="C42" s="164">
        <v>5003387</v>
      </c>
      <c r="D42" s="164">
        <v>3930000</v>
      </c>
      <c r="E42" s="101">
        <v>3929243</v>
      </c>
    </row>
    <row r="43" spans="1:5" s="175" customFormat="1" ht="12" customHeight="1">
      <c r="A43" s="12" t="s">
        <v>116</v>
      </c>
      <c r="B43" s="392" t="s">
        <v>191</v>
      </c>
      <c r="C43" s="164">
        <v>231789</v>
      </c>
      <c r="D43" s="164">
        <v>2000000</v>
      </c>
      <c r="E43" s="101">
        <v>2574607</v>
      </c>
    </row>
    <row r="44" spans="1:5" s="175" customFormat="1" ht="12" customHeight="1">
      <c r="A44" s="12" t="s">
        <v>117</v>
      </c>
      <c r="B44" s="392" t="s">
        <v>192</v>
      </c>
      <c r="C44" s="164">
        <v>0</v>
      </c>
      <c r="D44" s="164"/>
      <c r="E44" s="101"/>
    </row>
    <row r="45" spans="1:5" s="175" customFormat="1" ht="12" customHeight="1">
      <c r="A45" s="12" t="s">
        <v>118</v>
      </c>
      <c r="B45" s="392" t="s">
        <v>193</v>
      </c>
      <c r="C45" s="164">
        <v>1339473</v>
      </c>
      <c r="D45" s="164">
        <v>1498500</v>
      </c>
      <c r="E45" s="101">
        <v>1687377</v>
      </c>
    </row>
    <row r="46" spans="1:5" s="175" customFormat="1" ht="12" customHeight="1">
      <c r="A46" s="12" t="s">
        <v>119</v>
      </c>
      <c r="B46" s="392" t="s">
        <v>194</v>
      </c>
      <c r="C46" s="164"/>
      <c r="D46" s="251"/>
      <c r="E46" s="101"/>
    </row>
    <row r="47" spans="1:5" s="175" customFormat="1" ht="12" customHeight="1">
      <c r="A47" s="12" t="s">
        <v>120</v>
      </c>
      <c r="B47" s="392" t="s">
        <v>195</v>
      </c>
      <c r="C47" s="164">
        <v>5882</v>
      </c>
      <c r="D47" s="251"/>
      <c r="E47" s="101">
        <v>45</v>
      </c>
    </row>
    <row r="48" spans="1:5" s="175" customFormat="1" ht="12" customHeight="1">
      <c r="A48" s="12" t="s">
        <v>186</v>
      </c>
      <c r="B48" s="392" t="s">
        <v>196</v>
      </c>
      <c r="C48" s="167"/>
      <c r="D48" s="307"/>
      <c r="E48" s="104"/>
    </row>
    <row r="49" spans="1:5" s="175" customFormat="1" ht="12" customHeight="1" thickBot="1">
      <c r="A49" s="14" t="s">
        <v>187</v>
      </c>
      <c r="B49" s="394" t="s">
        <v>197</v>
      </c>
      <c r="C49" s="168">
        <v>470582</v>
      </c>
      <c r="D49" s="308"/>
      <c r="E49" s="105">
        <v>347039</v>
      </c>
    </row>
    <row r="50" spans="1:5" s="175" customFormat="1" ht="12" customHeight="1" thickBot="1">
      <c r="A50" s="18" t="s">
        <v>11</v>
      </c>
      <c r="B50" s="390" t="s">
        <v>198</v>
      </c>
      <c r="C50" s="163">
        <f>SUM(C51:C55)</f>
        <v>0</v>
      </c>
      <c r="D50" s="163">
        <f>SUM(D51:D55)</f>
        <v>0</v>
      </c>
      <c r="E50" s="163">
        <f>SUM(E51:E55)</f>
        <v>236472</v>
      </c>
    </row>
    <row r="51" spans="1:5" s="175" customFormat="1" ht="12" customHeight="1">
      <c r="A51" s="13" t="s">
        <v>60</v>
      </c>
      <c r="B51" s="391" t="s">
        <v>202</v>
      </c>
      <c r="C51" s="216"/>
      <c r="D51" s="216"/>
      <c r="E51" s="106"/>
    </row>
    <row r="52" spans="1:5" s="175" customFormat="1" ht="12" customHeight="1">
      <c r="A52" s="12" t="s">
        <v>61</v>
      </c>
      <c r="B52" s="392" t="s">
        <v>203</v>
      </c>
      <c r="C52" s="167"/>
      <c r="D52" s="167"/>
      <c r="E52" s="104"/>
    </row>
    <row r="53" spans="1:5" s="175" customFormat="1" ht="12" customHeight="1">
      <c r="A53" s="12" t="s">
        <v>199</v>
      </c>
      <c r="B53" s="392" t="s">
        <v>204</v>
      </c>
      <c r="C53" s="167"/>
      <c r="D53" s="167"/>
      <c r="E53" s="104">
        <v>236472</v>
      </c>
    </row>
    <row r="54" spans="1:5" s="175" customFormat="1" ht="12" customHeight="1">
      <c r="A54" s="12" t="s">
        <v>200</v>
      </c>
      <c r="B54" s="392" t="s">
        <v>205</v>
      </c>
      <c r="C54" s="167"/>
      <c r="D54" s="167"/>
      <c r="E54" s="104"/>
    </row>
    <row r="55" spans="1:5" s="175" customFormat="1" ht="12" customHeight="1" thickBot="1">
      <c r="A55" s="14" t="s">
        <v>201</v>
      </c>
      <c r="B55" s="394" t="s">
        <v>206</v>
      </c>
      <c r="C55" s="168"/>
      <c r="D55" s="168"/>
      <c r="E55" s="105"/>
    </row>
    <row r="56" spans="1:5" s="175" customFormat="1" ht="13.5" thickBot="1">
      <c r="A56" s="18" t="s">
        <v>121</v>
      </c>
      <c r="B56" s="390" t="s">
        <v>207</v>
      </c>
      <c r="C56" s="163">
        <f>SUM(C57:C59)</f>
        <v>317000</v>
      </c>
      <c r="D56" s="163">
        <f>SUM(D57:D59)</f>
        <v>400000</v>
      </c>
      <c r="E56" s="100">
        <f>SUM(E57:E59)</f>
        <v>257713</v>
      </c>
    </row>
    <row r="57" spans="1:5" s="175" customFormat="1" ht="12.75">
      <c r="A57" s="13" t="s">
        <v>62</v>
      </c>
      <c r="B57" s="391" t="s">
        <v>208</v>
      </c>
      <c r="C57" s="165"/>
      <c r="D57" s="165"/>
      <c r="E57" s="102"/>
    </row>
    <row r="58" spans="1:5" s="175" customFormat="1" ht="14.25" customHeight="1">
      <c r="A58" s="12" t="s">
        <v>63</v>
      </c>
      <c r="B58" s="392" t="s">
        <v>530</v>
      </c>
      <c r="C58" s="164">
        <v>317000</v>
      </c>
      <c r="D58" s="164">
        <v>400000</v>
      </c>
      <c r="E58" s="101">
        <v>203000</v>
      </c>
    </row>
    <row r="59" spans="1:5" s="175" customFormat="1" ht="12.75">
      <c r="A59" s="12" t="s">
        <v>211</v>
      </c>
      <c r="B59" s="392" t="s">
        <v>209</v>
      </c>
      <c r="C59" s="164">
        <v>0</v>
      </c>
      <c r="D59" s="164"/>
      <c r="E59" s="101">
        <v>54713</v>
      </c>
    </row>
    <row r="60" spans="1:5" s="175" customFormat="1" ht="13.5" thickBot="1">
      <c r="A60" s="14" t="s">
        <v>212</v>
      </c>
      <c r="B60" s="394" t="s">
        <v>210</v>
      </c>
      <c r="C60" s="166"/>
      <c r="D60" s="166"/>
      <c r="E60" s="103"/>
    </row>
    <row r="61" spans="1:5" s="175" customFormat="1" ht="13.5" thickBot="1">
      <c r="A61" s="18" t="s">
        <v>13</v>
      </c>
      <c r="B61" s="396" t="s">
        <v>213</v>
      </c>
      <c r="C61" s="163">
        <f>SUM(C62:C64)</f>
        <v>0</v>
      </c>
      <c r="D61" s="163">
        <f>SUM(D62:D64)</f>
        <v>0</v>
      </c>
      <c r="E61" s="100">
        <f>SUM(E62:E64)</f>
        <v>0</v>
      </c>
    </row>
    <row r="62" spans="1:5" s="175" customFormat="1" ht="12.75">
      <c r="A62" s="12" t="s">
        <v>122</v>
      </c>
      <c r="B62" s="391" t="s">
        <v>215</v>
      </c>
      <c r="C62" s="167"/>
      <c r="D62" s="167"/>
      <c r="E62" s="104"/>
    </row>
    <row r="63" spans="1:5" s="175" customFormat="1" ht="12.75" customHeight="1">
      <c r="A63" s="12" t="s">
        <v>123</v>
      </c>
      <c r="B63" s="392" t="s">
        <v>531</v>
      </c>
      <c r="C63" s="167"/>
      <c r="D63" s="167"/>
      <c r="E63" s="104"/>
    </row>
    <row r="64" spans="1:5" s="175" customFormat="1" ht="12.75">
      <c r="A64" s="12" t="s">
        <v>146</v>
      </c>
      <c r="B64" s="392" t="s">
        <v>216</v>
      </c>
      <c r="C64" s="167"/>
      <c r="D64" s="167"/>
      <c r="E64" s="104"/>
    </row>
    <row r="65" spans="1:5" s="175" customFormat="1" ht="13.5" thickBot="1">
      <c r="A65" s="12" t="s">
        <v>214</v>
      </c>
      <c r="B65" s="394" t="s">
        <v>217</v>
      </c>
      <c r="C65" s="167"/>
      <c r="D65" s="167"/>
      <c r="E65" s="104"/>
    </row>
    <row r="66" spans="1:5" s="175" customFormat="1" ht="13.5" thickBot="1">
      <c r="A66" s="18" t="s">
        <v>14</v>
      </c>
      <c r="B66" s="390" t="s">
        <v>218</v>
      </c>
      <c r="C66" s="169">
        <f>+C9+C16+C23+C30+C39+C50+C56+C61</f>
        <v>551558722</v>
      </c>
      <c r="D66" s="169">
        <f>+D9+D16+D23+D30+D39+D50+D56+D61</f>
        <v>246408930</v>
      </c>
      <c r="E66" s="205">
        <f>+E9+E16+E23+E30+E39+E50+E56+E61</f>
        <v>256157513</v>
      </c>
    </row>
    <row r="67" spans="1:5" s="175" customFormat="1" ht="13.5" thickBot="1">
      <c r="A67" s="217" t="s">
        <v>219</v>
      </c>
      <c r="B67" s="396" t="s">
        <v>532</v>
      </c>
      <c r="C67" s="163">
        <f>SUM(C68:C70)</f>
        <v>0</v>
      </c>
      <c r="D67" s="163">
        <f>SUM(D68:D70)</f>
        <v>0</v>
      </c>
      <c r="E67" s="100">
        <f>SUM(E68:E70)</f>
        <v>0</v>
      </c>
    </row>
    <row r="68" spans="1:5" s="175" customFormat="1" ht="12.75">
      <c r="A68" s="12" t="s">
        <v>248</v>
      </c>
      <c r="B68" s="391" t="s">
        <v>221</v>
      </c>
      <c r="C68" s="167"/>
      <c r="D68" s="167"/>
      <c r="E68" s="104"/>
    </row>
    <row r="69" spans="1:5" s="175" customFormat="1" ht="12.75">
      <c r="A69" s="12" t="s">
        <v>257</v>
      </c>
      <c r="B69" s="392" t="s">
        <v>222</v>
      </c>
      <c r="C69" s="167"/>
      <c r="D69" s="167"/>
      <c r="E69" s="104"/>
    </row>
    <row r="70" spans="1:5" s="175" customFormat="1" ht="13.5" thickBot="1">
      <c r="A70" s="12" t="s">
        <v>258</v>
      </c>
      <c r="B70" s="225" t="s">
        <v>364</v>
      </c>
      <c r="C70" s="167"/>
      <c r="D70" s="167"/>
      <c r="E70" s="104"/>
    </row>
    <row r="71" spans="1:5" s="175" customFormat="1" ht="13.5" thickBot="1">
      <c r="A71" s="217" t="s">
        <v>224</v>
      </c>
      <c r="B71" s="396" t="s">
        <v>225</v>
      </c>
      <c r="C71" s="163">
        <f>SUM(C72:C75)</f>
        <v>0</v>
      </c>
      <c r="D71" s="163">
        <f>SUM(D72:D75)</f>
        <v>0</v>
      </c>
      <c r="E71" s="100">
        <f>SUM(E72:E75)</f>
        <v>0</v>
      </c>
    </row>
    <row r="72" spans="1:5" s="175" customFormat="1" ht="12.75">
      <c r="A72" s="12" t="s">
        <v>100</v>
      </c>
      <c r="B72" s="397" t="s">
        <v>226</v>
      </c>
      <c r="C72" s="167"/>
      <c r="D72" s="167"/>
      <c r="E72" s="104"/>
    </row>
    <row r="73" spans="1:5" s="175" customFormat="1" ht="12.75">
      <c r="A73" s="12" t="s">
        <v>101</v>
      </c>
      <c r="B73" s="397" t="s">
        <v>495</v>
      </c>
      <c r="C73" s="167"/>
      <c r="D73" s="167"/>
      <c r="E73" s="104"/>
    </row>
    <row r="74" spans="1:5" s="175" customFormat="1" ht="12" customHeight="1">
      <c r="A74" s="12" t="s">
        <v>249</v>
      </c>
      <c r="B74" s="397" t="s">
        <v>227</v>
      </c>
      <c r="C74" s="167"/>
      <c r="D74" s="167"/>
      <c r="E74" s="104"/>
    </row>
    <row r="75" spans="1:5" s="175" customFormat="1" ht="12" customHeight="1" thickBot="1">
      <c r="A75" s="12" t="s">
        <v>250</v>
      </c>
      <c r="B75" s="398" t="s">
        <v>496</v>
      </c>
      <c r="C75" s="167"/>
      <c r="D75" s="167"/>
      <c r="E75" s="104"/>
    </row>
    <row r="76" spans="1:5" s="175" customFormat="1" ht="12" customHeight="1" thickBot="1">
      <c r="A76" s="217" t="s">
        <v>228</v>
      </c>
      <c r="B76" s="396" t="s">
        <v>229</v>
      </c>
      <c r="C76" s="163">
        <f>SUM(C77:C78)</f>
        <v>71178599</v>
      </c>
      <c r="D76" s="163">
        <f>SUM(D77:D78)</f>
        <v>360753858</v>
      </c>
      <c r="E76" s="100">
        <f>SUM(E77:E78)</f>
        <v>360753858</v>
      </c>
    </row>
    <row r="77" spans="1:5" s="175" customFormat="1" ht="12" customHeight="1">
      <c r="A77" s="12" t="s">
        <v>251</v>
      </c>
      <c r="B77" s="391" t="s">
        <v>230</v>
      </c>
      <c r="C77" s="167">
        <v>71178599</v>
      </c>
      <c r="D77" s="167">
        <v>360753858</v>
      </c>
      <c r="E77" s="104">
        <v>360753858</v>
      </c>
    </row>
    <row r="78" spans="1:5" s="175" customFormat="1" ht="12" customHeight="1" thickBot="1">
      <c r="A78" s="12" t="s">
        <v>252</v>
      </c>
      <c r="B78" s="394" t="s">
        <v>231</v>
      </c>
      <c r="C78" s="167">
        <v>0</v>
      </c>
      <c r="D78" s="167"/>
      <c r="E78" s="104"/>
    </row>
    <row r="79" spans="1:5" s="175" customFormat="1" ht="12" customHeight="1" thickBot="1">
      <c r="A79" s="217" t="s">
        <v>232</v>
      </c>
      <c r="B79" s="396" t="s">
        <v>233</v>
      </c>
      <c r="C79" s="163">
        <f>SUM(C80:C82)</f>
        <v>6289400</v>
      </c>
      <c r="D79" s="163">
        <f>SUM(D80:D82)</f>
        <v>7151762</v>
      </c>
      <c r="E79" s="100">
        <f>SUM(E80:E82)</f>
        <v>7151762</v>
      </c>
    </row>
    <row r="80" spans="1:5" s="175" customFormat="1" ht="12" customHeight="1">
      <c r="A80" s="12" t="s">
        <v>253</v>
      </c>
      <c r="B80" s="391" t="s">
        <v>234</v>
      </c>
      <c r="C80" s="167">
        <v>6289400</v>
      </c>
      <c r="D80" s="167">
        <v>7151762</v>
      </c>
      <c r="E80" s="104">
        <v>7151762</v>
      </c>
    </row>
    <row r="81" spans="1:5" s="175" customFormat="1" ht="12" customHeight="1">
      <c r="A81" s="12" t="s">
        <v>254</v>
      </c>
      <c r="B81" s="392" t="s">
        <v>235</v>
      </c>
      <c r="C81" s="167"/>
      <c r="D81" s="167"/>
      <c r="E81" s="104"/>
    </row>
    <row r="82" spans="1:5" s="175" customFormat="1" ht="12" customHeight="1" thickBot="1">
      <c r="A82" s="12" t="s">
        <v>255</v>
      </c>
      <c r="B82" s="399" t="s">
        <v>533</v>
      </c>
      <c r="C82" s="167"/>
      <c r="D82" s="167"/>
      <c r="E82" s="104"/>
    </row>
    <row r="83" spans="1:5" s="175" customFormat="1" ht="12" customHeight="1" thickBot="1">
      <c r="A83" s="217" t="s">
        <v>236</v>
      </c>
      <c r="B83" s="396" t="s">
        <v>256</v>
      </c>
      <c r="C83" s="163">
        <f>SUM(C84:C87)</f>
        <v>0</v>
      </c>
      <c r="D83" s="163">
        <f>SUM(D84:D87)</f>
        <v>0</v>
      </c>
      <c r="E83" s="100">
        <f>SUM(E84:E87)</f>
        <v>0</v>
      </c>
    </row>
    <row r="84" spans="1:5" s="175" customFormat="1" ht="12" customHeight="1">
      <c r="A84" s="400" t="s">
        <v>237</v>
      </c>
      <c r="B84" s="391" t="s">
        <v>238</v>
      </c>
      <c r="C84" s="167"/>
      <c r="D84" s="167"/>
      <c r="E84" s="104"/>
    </row>
    <row r="85" spans="1:5" s="175" customFormat="1" ht="12" customHeight="1">
      <c r="A85" s="401" t="s">
        <v>239</v>
      </c>
      <c r="B85" s="392" t="s">
        <v>240</v>
      </c>
      <c r="C85" s="167"/>
      <c r="D85" s="167"/>
      <c r="E85" s="104"/>
    </row>
    <row r="86" spans="1:5" s="175" customFormat="1" ht="12" customHeight="1">
      <c r="A86" s="401" t="s">
        <v>241</v>
      </c>
      <c r="B86" s="392" t="s">
        <v>242</v>
      </c>
      <c r="C86" s="167"/>
      <c r="D86" s="167"/>
      <c r="E86" s="104"/>
    </row>
    <row r="87" spans="1:5" s="175" customFormat="1" ht="12" customHeight="1" thickBot="1">
      <c r="A87" s="402" t="s">
        <v>243</v>
      </c>
      <c r="B87" s="394" t="s">
        <v>244</v>
      </c>
      <c r="C87" s="167"/>
      <c r="D87" s="167"/>
      <c r="E87" s="104"/>
    </row>
    <row r="88" spans="1:5" s="175" customFormat="1" ht="12" customHeight="1" thickBot="1">
      <c r="A88" s="217" t="s">
        <v>245</v>
      </c>
      <c r="B88" s="396" t="s">
        <v>246</v>
      </c>
      <c r="C88" s="219"/>
      <c r="D88" s="219"/>
      <c r="E88" s="220"/>
    </row>
    <row r="89" spans="1:5" s="175" customFormat="1" ht="13.5" customHeight="1" thickBot="1">
      <c r="A89" s="217" t="s">
        <v>247</v>
      </c>
      <c r="B89" s="403" t="s">
        <v>534</v>
      </c>
      <c r="C89" s="169">
        <f>+C67+C71+C76+C79+C83+C88</f>
        <v>77467999</v>
      </c>
      <c r="D89" s="169">
        <f>+D67+D71+D76+D79+D83+D88</f>
        <v>367905620</v>
      </c>
      <c r="E89" s="205">
        <f>+E67+E71+E76+E79+E83+E88</f>
        <v>367905620</v>
      </c>
    </row>
    <row r="90" spans="1:5" s="175" customFormat="1" ht="12" customHeight="1" thickBot="1">
      <c r="A90" s="218" t="s">
        <v>259</v>
      </c>
      <c r="B90" s="404" t="s">
        <v>535</v>
      </c>
      <c r="C90" s="169">
        <f>+C66+C89</f>
        <v>629026721</v>
      </c>
      <c r="D90" s="169">
        <f>+D66+D89</f>
        <v>614314550</v>
      </c>
      <c r="E90" s="205">
        <f>+E66+E89</f>
        <v>624063133</v>
      </c>
    </row>
    <row r="91" spans="1:5" ht="16.5" customHeight="1">
      <c r="A91" s="824" t="s">
        <v>34</v>
      </c>
      <c r="B91" s="824"/>
      <c r="C91" s="824"/>
      <c r="D91" s="824"/>
      <c r="E91" s="824"/>
    </row>
    <row r="92" spans="1:5" s="185" customFormat="1" ht="16.5" customHeight="1" thickBot="1">
      <c r="A92" s="405" t="s">
        <v>103</v>
      </c>
      <c r="B92" s="405"/>
      <c r="C92" s="405"/>
      <c r="D92" s="58"/>
      <c r="E92" s="58" t="str">
        <f>E5</f>
        <v>Forintban</v>
      </c>
    </row>
    <row r="93" spans="1:5" s="185" customFormat="1" ht="16.5" customHeight="1">
      <c r="A93" s="896" t="s">
        <v>52</v>
      </c>
      <c r="B93" s="820" t="s">
        <v>418</v>
      </c>
      <c r="C93" s="835" t="str">
        <f>+C6</f>
        <v>2018. évi tény</v>
      </c>
      <c r="D93" s="899" t="str">
        <f>+D6</f>
        <v>2019. évi</v>
      </c>
      <c r="E93" s="900"/>
    </row>
    <row r="94" spans="1:5" ht="37.5" customHeight="1" thickBot="1">
      <c r="A94" s="897"/>
      <c r="B94" s="898"/>
      <c r="C94" s="836"/>
      <c r="D94" s="245" t="s">
        <v>455</v>
      </c>
      <c r="E94" s="389" t="s">
        <v>443</v>
      </c>
    </row>
    <row r="95" spans="1:5" s="174" customFormat="1" ht="12" customHeight="1" thickBot="1">
      <c r="A95" s="24" t="s">
        <v>387</v>
      </c>
      <c r="B95" s="25" t="s">
        <v>388</v>
      </c>
      <c r="C95" s="25" t="s">
        <v>389</v>
      </c>
      <c r="D95" s="25" t="s">
        <v>390</v>
      </c>
      <c r="E95" s="406" t="s">
        <v>392</v>
      </c>
    </row>
    <row r="96" spans="1:5" ht="12" customHeight="1" thickBot="1">
      <c r="A96" s="20" t="s">
        <v>6</v>
      </c>
      <c r="B96" s="23" t="s">
        <v>536</v>
      </c>
      <c r="C96" s="162">
        <f>SUM(C97:C101)</f>
        <v>223524195</v>
      </c>
      <c r="D96" s="162">
        <f>+D97+D98+D99+D100+D101</f>
        <v>257643150</v>
      </c>
      <c r="E96" s="232">
        <f>+E97+E98+E99+E100+E101</f>
        <v>249964721</v>
      </c>
    </row>
    <row r="97" spans="1:5" ht="12" customHeight="1">
      <c r="A97" s="15" t="s">
        <v>64</v>
      </c>
      <c r="B97" s="407" t="s">
        <v>35</v>
      </c>
      <c r="C97" s="239">
        <v>63417072</v>
      </c>
      <c r="D97" s="239">
        <v>76956000</v>
      </c>
      <c r="E97" s="233">
        <v>76233998</v>
      </c>
    </row>
    <row r="98" spans="1:5" ht="12" customHeight="1">
      <c r="A98" s="12" t="s">
        <v>65</v>
      </c>
      <c r="B98" s="408" t="s">
        <v>124</v>
      </c>
      <c r="C98" s="164">
        <v>10231558</v>
      </c>
      <c r="D98" s="164">
        <v>13650000</v>
      </c>
      <c r="E98" s="101">
        <v>13310321</v>
      </c>
    </row>
    <row r="99" spans="1:5" ht="12" customHeight="1">
      <c r="A99" s="12" t="s">
        <v>66</v>
      </c>
      <c r="B99" s="408" t="s">
        <v>92</v>
      </c>
      <c r="C99" s="166">
        <v>39709289</v>
      </c>
      <c r="D99" s="166">
        <v>52582150</v>
      </c>
      <c r="E99" s="103">
        <v>47048175</v>
      </c>
    </row>
    <row r="100" spans="1:5" ht="12" customHeight="1">
      <c r="A100" s="12" t="s">
        <v>67</v>
      </c>
      <c r="B100" s="409" t="s">
        <v>125</v>
      </c>
      <c r="C100" s="166">
        <v>3202069</v>
      </c>
      <c r="D100" s="166">
        <v>3450000</v>
      </c>
      <c r="E100" s="103">
        <v>2908500</v>
      </c>
    </row>
    <row r="101" spans="1:5" ht="12" customHeight="1">
      <c r="A101" s="12" t="s">
        <v>76</v>
      </c>
      <c r="B101" s="410" t="s">
        <v>126</v>
      </c>
      <c r="C101" s="166">
        <v>106964207</v>
      </c>
      <c r="D101" s="166">
        <v>111005000</v>
      </c>
      <c r="E101" s="103">
        <v>110463727</v>
      </c>
    </row>
    <row r="102" spans="1:5" ht="12" customHeight="1">
      <c r="A102" s="12" t="s">
        <v>68</v>
      </c>
      <c r="B102" s="408" t="s">
        <v>537</v>
      </c>
      <c r="C102" s="166">
        <v>133905</v>
      </c>
      <c r="D102" s="166"/>
      <c r="E102" s="103"/>
    </row>
    <row r="103" spans="1:5" ht="12" customHeight="1">
      <c r="A103" s="12" t="s">
        <v>69</v>
      </c>
      <c r="B103" s="411" t="s">
        <v>262</v>
      </c>
      <c r="C103" s="166"/>
      <c r="D103" s="166"/>
      <c r="E103" s="103"/>
    </row>
    <row r="104" spans="1:5" ht="12" customHeight="1">
      <c r="A104" s="12" t="s">
        <v>77</v>
      </c>
      <c r="B104" s="408" t="s">
        <v>263</v>
      </c>
      <c r="C104" s="166"/>
      <c r="D104" s="166"/>
      <c r="E104" s="103"/>
    </row>
    <row r="105" spans="1:5" ht="12" customHeight="1">
      <c r="A105" s="12" t="s">
        <v>78</v>
      </c>
      <c r="B105" s="408" t="s">
        <v>264</v>
      </c>
      <c r="C105" s="166"/>
      <c r="D105" s="166"/>
      <c r="E105" s="103"/>
    </row>
    <row r="106" spans="1:5" ht="12" customHeight="1">
      <c r="A106" s="12" t="s">
        <v>79</v>
      </c>
      <c r="B106" s="411" t="s">
        <v>265</v>
      </c>
      <c r="C106" s="166">
        <v>104864706</v>
      </c>
      <c r="D106" s="166">
        <v>108685000</v>
      </c>
      <c r="E106" s="103">
        <v>108154226</v>
      </c>
    </row>
    <row r="107" spans="1:5" ht="12" customHeight="1">
      <c r="A107" s="12" t="s">
        <v>80</v>
      </c>
      <c r="B107" s="411" t="s">
        <v>266</v>
      </c>
      <c r="C107" s="166"/>
      <c r="D107" s="166"/>
      <c r="E107" s="103"/>
    </row>
    <row r="108" spans="1:5" ht="12" customHeight="1">
      <c r="A108" s="12" t="s">
        <v>82</v>
      </c>
      <c r="B108" s="408" t="s">
        <v>267</v>
      </c>
      <c r="C108" s="166">
        <v>350000</v>
      </c>
      <c r="D108" s="166">
        <v>50000</v>
      </c>
      <c r="E108" s="103">
        <v>50000</v>
      </c>
    </row>
    <row r="109" spans="1:6" ht="12" customHeight="1">
      <c r="A109" s="11" t="s">
        <v>127</v>
      </c>
      <c r="B109" s="412" t="s">
        <v>268</v>
      </c>
      <c r="C109" s="166"/>
      <c r="D109" s="166"/>
      <c r="E109" s="103"/>
      <c r="F109" s="690"/>
    </row>
    <row r="110" spans="1:5" ht="12" customHeight="1">
      <c r="A110" s="12" t="s">
        <v>260</v>
      </c>
      <c r="B110" s="412" t="s">
        <v>269</v>
      </c>
      <c r="C110" s="166"/>
      <c r="D110" s="166">
        <v>50000</v>
      </c>
      <c r="E110" s="103">
        <v>50000</v>
      </c>
    </row>
    <row r="111" spans="1:6" ht="12" customHeight="1" thickBot="1">
      <c r="A111" s="16" t="s">
        <v>261</v>
      </c>
      <c r="B111" s="413" t="s">
        <v>270</v>
      </c>
      <c r="C111" s="240">
        <v>1749501</v>
      </c>
      <c r="D111" s="166">
        <v>2270000</v>
      </c>
      <c r="E111" s="103">
        <v>2259501</v>
      </c>
      <c r="F111" s="690"/>
    </row>
    <row r="112" spans="1:5" ht="12" customHeight="1" thickBot="1">
      <c r="A112" s="18" t="s">
        <v>7</v>
      </c>
      <c r="B112" s="22" t="s">
        <v>538</v>
      </c>
      <c r="C112" s="163">
        <f>+C113+C115+C117</f>
        <v>38826332</v>
      </c>
      <c r="D112" s="163">
        <f>+D113+D115+D117</f>
        <v>7963000</v>
      </c>
      <c r="E112" s="163">
        <f>+E113+E115+E117</f>
        <v>7341519</v>
      </c>
    </row>
    <row r="113" spans="1:5" ht="12" customHeight="1">
      <c r="A113" s="13" t="s">
        <v>70</v>
      </c>
      <c r="B113" s="408" t="s">
        <v>145</v>
      </c>
      <c r="C113" s="165">
        <v>37147583</v>
      </c>
      <c r="D113" s="166">
        <v>1613000</v>
      </c>
      <c r="E113" s="103">
        <v>1403476</v>
      </c>
    </row>
    <row r="114" spans="1:5" ht="12" customHeight="1">
      <c r="A114" s="13" t="s">
        <v>71</v>
      </c>
      <c r="B114" s="412" t="s">
        <v>275</v>
      </c>
      <c r="C114" s="165">
        <v>0</v>
      </c>
      <c r="D114" s="164"/>
      <c r="E114" s="101"/>
    </row>
    <row r="115" spans="1:5" ht="15.75">
      <c r="A115" s="13" t="s">
        <v>72</v>
      </c>
      <c r="B115" s="412" t="s">
        <v>128</v>
      </c>
      <c r="C115" s="164">
        <v>1078749</v>
      </c>
      <c r="D115" s="164">
        <v>5750000</v>
      </c>
      <c r="E115" s="101">
        <v>5638043</v>
      </c>
    </row>
    <row r="116" spans="1:5" ht="12" customHeight="1">
      <c r="A116" s="13" t="s">
        <v>73</v>
      </c>
      <c r="B116" s="412" t="s">
        <v>276</v>
      </c>
      <c r="C116" s="164"/>
      <c r="D116" s="164"/>
      <c r="E116" s="101"/>
    </row>
    <row r="117" spans="1:5" ht="12" customHeight="1">
      <c r="A117" s="13" t="s">
        <v>74</v>
      </c>
      <c r="B117" s="394" t="s">
        <v>147</v>
      </c>
      <c r="C117" s="164">
        <v>600000</v>
      </c>
      <c r="D117" s="164">
        <v>600000</v>
      </c>
      <c r="E117" s="101">
        <v>300000</v>
      </c>
    </row>
    <row r="118" spans="1:5" ht="15.75">
      <c r="A118" s="13" t="s">
        <v>81</v>
      </c>
      <c r="B118" s="392" t="s">
        <v>334</v>
      </c>
      <c r="C118" s="164"/>
      <c r="D118" s="164"/>
      <c r="E118" s="101"/>
    </row>
    <row r="119" spans="1:5" ht="15.75">
      <c r="A119" s="13" t="s">
        <v>83</v>
      </c>
      <c r="B119" s="414" t="s">
        <v>281</v>
      </c>
      <c r="C119" s="164"/>
      <c r="D119" s="164"/>
      <c r="E119" s="101"/>
    </row>
    <row r="120" spans="1:5" ht="12" customHeight="1">
      <c r="A120" s="13" t="s">
        <v>129</v>
      </c>
      <c r="B120" s="408" t="s">
        <v>264</v>
      </c>
      <c r="C120" s="164"/>
      <c r="D120" s="164"/>
      <c r="E120" s="101"/>
    </row>
    <row r="121" spans="1:5" ht="12" customHeight="1">
      <c r="A121" s="13" t="s">
        <v>130</v>
      </c>
      <c r="B121" s="408" t="s">
        <v>280</v>
      </c>
      <c r="C121" s="164"/>
      <c r="D121" s="164"/>
      <c r="E121" s="101"/>
    </row>
    <row r="122" spans="1:5" ht="12" customHeight="1">
      <c r="A122" s="13" t="s">
        <v>131</v>
      </c>
      <c r="B122" s="408" t="s">
        <v>279</v>
      </c>
      <c r="C122" s="164"/>
      <c r="D122" s="164"/>
      <c r="E122" s="101"/>
    </row>
    <row r="123" spans="1:5" s="415" customFormat="1" ht="12" customHeight="1">
      <c r="A123" s="13" t="s">
        <v>272</v>
      </c>
      <c r="B123" s="408" t="s">
        <v>267</v>
      </c>
      <c r="C123" s="164"/>
      <c r="D123" s="164"/>
      <c r="E123" s="101"/>
    </row>
    <row r="124" spans="1:5" ht="12" customHeight="1">
      <c r="A124" s="13" t="s">
        <v>273</v>
      </c>
      <c r="B124" s="408" t="s">
        <v>278</v>
      </c>
      <c r="C124" s="164">
        <v>150000</v>
      </c>
      <c r="D124" s="164">
        <v>600000</v>
      </c>
      <c r="E124" s="101">
        <v>300000</v>
      </c>
    </row>
    <row r="125" spans="1:5" ht="12" customHeight="1" thickBot="1">
      <c r="A125" s="11" t="s">
        <v>274</v>
      </c>
      <c r="B125" s="408" t="s">
        <v>277</v>
      </c>
      <c r="C125" s="166"/>
      <c r="D125" s="166"/>
      <c r="E125" s="103"/>
    </row>
    <row r="126" spans="1:5" ht="12" customHeight="1" thickBot="1">
      <c r="A126" s="18" t="s">
        <v>8</v>
      </c>
      <c r="B126" s="416" t="s">
        <v>539</v>
      </c>
      <c r="C126" s="163">
        <f>+C127+C128</f>
        <v>0</v>
      </c>
      <c r="D126" s="163">
        <f>+D127+D128</f>
        <v>342419000</v>
      </c>
      <c r="E126" s="100">
        <f>+E127+E128</f>
        <v>0</v>
      </c>
    </row>
    <row r="127" spans="1:5" ht="12" customHeight="1">
      <c r="A127" s="13" t="s">
        <v>53</v>
      </c>
      <c r="B127" s="414" t="s">
        <v>540</v>
      </c>
      <c r="C127" s="165"/>
      <c r="D127" s="165">
        <v>342419000</v>
      </c>
      <c r="E127" s="102"/>
    </row>
    <row r="128" spans="1:5" ht="12" customHeight="1" thickBot="1">
      <c r="A128" s="14" t="s">
        <v>54</v>
      </c>
      <c r="B128" s="412" t="s">
        <v>541</v>
      </c>
      <c r="C128" s="166"/>
      <c r="D128" s="166"/>
      <c r="E128" s="103"/>
    </row>
    <row r="129" spans="1:5" ht="12" customHeight="1" thickBot="1">
      <c r="A129" s="18" t="s">
        <v>9</v>
      </c>
      <c r="B129" s="416" t="s">
        <v>542</v>
      </c>
      <c r="C129" s="163">
        <f>+C96+C112+C126</f>
        <v>262350527</v>
      </c>
      <c r="D129" s="163">
        <f>+D96+D112+D126</f>
        <v>608025150</v>
      </c>
      <c r="E129" s="100">
        <f>+E96+E112+E126</f>
        <v>257306240</v>
      </c>
    </row>
    <row r="130" spans="1:5" ht="12" customHeight="1" thickBot="1">
      <c r="A130" s="18" t="s">
        <v>10</v>
      </c>
      <c r="B130" s="416" t="s">
        <v>543</v>
      </c>
      <c r="C130" s="163">
        <f>+C131+C132+C133</f>
        <v>0</v>
      </c>
      <c r="D130" s="163">
        <f>+D131+D132+D133</f>
        <v>0</v>
      </c>
      <c r="E130" s="100">
        <f>+E131+E132+E133</f>
        <v>0</v>
      </c>
    </row>
    <row r="131" spans="1:5" ht="12" customHeight="1">
      <c r="A131" s="13" t="s">
        <v>57</v>
      </c>
      <c r="B131" s="414" t="s">
        <v>406</v>
      </c>
      <c r="C131" s="164"/>
      <c r="D131" s="164"/>
      <c r="E131" s="101"/>
    </row>
    <row r="132" spans="1:5" ht="12" customHeight="1">
      <c r="A132" s="13" t="s">
        <v>58</v>
      </c>
      <c r="B132" s="414" t="s">
        <v>360</v>
      </c>
      <c r="C132" s="164"/>
      <c r="D132" s="164"/>
      <c r="E132" s="101"/>
    </row>
    <row r="133" spans="1:5" ht="12" customHeight="1" thickBot="1">
      <c r="A133" s="11" t="s">
        <v>59</v>
      </c>
      <c r="B133" s="417" t="s">
        <v>405</v>
      </c>
      <c r="C133" s="164"/>
      <c r="D133" s="164"/>
      <c r="E133" s="101"/>
    </row>
    <row r="134" spans="1:5" ht="12" customHeight="1" thickBot="1">
      <c r="A134" s="18" t="s">
        <v>11</v>
      </c>
      <c r="B134" s="416" t="s">
        <v>544</v>
      </c>
      <c r="C134" s="163">
        <f>+C135+C136+C137+C138</f>
        <v>0</v>
      </c>
      <c r="D134" s="163">
        <f>+D135+D136+D137+D138</f>
        <v>0</v>
      </c>
      <c r="E134" s="100">
        <f>+E135+E136+E137+E138</f>
        <v>0</v>
      </c>
    </row>
    <row r="135" spans="1:5" ht="12" customHeight="1">
      <c r="A135" s="13" t="s">
        <v>60</v>
      </c>
      <c r="B135" s="414" t="s">
        <v>362</v>
      </c>
      <c r="C135" s="164"/>
      <c r="D135" s="164"/>
      <c r="E135" s="101"/>
    </row>
    <row r="136" spans="1:5" ht="12" customHeight="1">
      <c r="A136" s="13" t="s">
        <v>61</v>
      </c>
      <c r="B136" s="414" t="s">
        <v>545</v>
      </c>
      <c r="C136" s="164"/>
      <c r="D136" s="164"/>
      <c r="E136" s="101"/>
    </row>
    <row r="137" spans="1:5" ht="12" customHeight="1">
      <c r="A137" s="13" t="s">
        <v>199</v>
      </c>
      <c r="B137" s="414" t="s">
        <v>354</v>
      </c>
      <c r="C137" s="164"/>
      <c r="D137" s="164"/>
      <c r="E137" s="101"/>
    </row>
    <row r="138" spans="1:5" ht="12" customHeight="1" thickBot="1">
      <c r="A138" s="11" t="s">
        <v>200</v>
      </c>
      <c r="B138" s="417" t="s">
        <v>546</v>
      </c>
      <c r="C138" s="164"/>
      <c r="D138" s="164"/>
      <c r="E138" s="101"/>
    </row>
    <row r="139" spans="1:5" ht="12" customHeight="1" thickBot="1">
      <c r="A139" s="18" t="s">
        <v>12</v>
      </c>
      <c r="B139" s="416" t="s">
        <v>547</v>
      </c>
      <c r="C139" s="169">
        <f>+C140+C141+C142+C143</f>
        <v>5922336</v>
      </c>
      <c r="D139" s="169">
        <f>+D140+D141+D142+D143</f>
        <v>6289400</v>
      </c>
      <c r="E139" s="205">
        <f>+E140+E141+E142+E143</f>
        <v>6289400</v>
      </c>
    </row>
    <row r="140" spans="1:5" ht="12" customHeight="1">
      <c r="A140" s="13" t="s">
        <v>62</v>
      </c>
      <c r="B140" s="414" t="s">
        <v>282</v>
      </c>
      <c r="C140" s="164"/>
      <c r="D140" s="164"/>
      <c r="E140" s="101"/>
    </row>
    <row r="141" spans="1:5" ht="12" customHeight="1">
      <c r="A141" s="13" t="s">
        <v>63</v>
      </c>
      <c r="B141" s="414" t="s">
        <v>283</v>
      </c>
      <c r="C141" s="164">
        <v>5922336</v>
      </c>
      <c r="D141" s="164">
        <v>6289400</v>
      </c>
      <c r="E141" s="101">
        <v>6289400</v>
      </c>
    </row>
    <row r="142" spans="1:5" ht="12" customHeight="1">
      <c r="A142" s="13" t="s">
        <v>211</v>
      </c>
      <c r="B142" s="414" t="s">
        <v>548</v>
      </c>
      <c r="C142" s="164"/>
      <c r="D142" s="164"/>
      <c r="E142" s="101"/>
    </row>
    <row r="143" spans="1:5" ht="12" customHeight="1" thickBot="1">
      <c r="A143" s="11" t="s">
        <v>212</v>
      </c>
      <c r="B143" s="417" t="s">
        <v>299</v>
      </c>
      <c r="C143" s="164"/>
      <c r="D143" s="164"/>
      <c r="E143" s="101"/>
    </row>
    <row r="144" spans="1:9" ht="15" customHeight="1" thickBot="1">
      <c r="A144" s="18" t="s">
        <v>13</v>
      </c>
      <c r="B144" s="416" t="s">
        <v>549</v>
      </c>
      <c r="C144" s="242">
        <f>+C145+C146+C147+C148</f>
        <v>0</v>
      </c>
      <c r="D144" s="242">
        <f>+D145+D146+D147+D148</f>
        <v>0</v>
      </c>
      <c r="E144" s="236">
        <f>+E145+E146+E147+E148</f>
        <v>0</v>
      </c>
      <c r="F144" s="186"/>
      <c r="G144" s="187"/>
      <c r="H144" s="187"/>
      <c r="I144" s="187"/>
    </row>
    <row r="145" spans="1:5" s="175" customFormat="1" ht="12.75" customHeight="1">
      <c r="A145" s="13" t="s">
        <v>122</v>
      </c>
      <c r="B145" s="414" t="s">
        <v>550</v>
      </c>
      <c r="C145" s="164"/>
      <c r="D145" s="164"/>
      <c r="E145" s="101"/>
    </row>
    <row r="146" spans="1:5" ht="13.5" customHeight="1">
      <c r="A146" s="13" t="s">
        <v>123</v>
      </c>
      <c r="B146" s="414" t="s">
        <v>551</v>
      </c>
      <c r="C146" s="164"/>
      <c r="D146" s="164"/>
      <c r="E146" s="101"/>
    </row>
    <row r="147" spans="1:5" ht="13.5" customHeight="1">
      <c r="A147" s="13" t="s">
        <v>146</v>
      </c>
      <c r="B147" s="414" t="s">
        <v>552</v>
      </c>
      <c r="C147" s="164"/>
      <c r="D147" s="164"/>
      <c r="E147" s="101"/>
    </row>
    <row r="148" spans="1:5" ht="13.5" customHeight="1" thickBot="1">
      <c r="A148" s="13" t="s">
        <v>214</v>
      </c>
      <c r="B148" s="414" t="s">
        <v>553</v>
      </c>
      <c r="C148" s="164"/>
      <c r="D148" s="164"/>
      <c r="E148" s="101"/>
    </row>
    <row r="149" spans="1:5" ht="12.75" customHeight="1" thickBot="1">
      <c r="A149" s="18" t="s">
        <v>14</v>
      </c>
      <c r="B149" s="416" t="s">
        <v>554</v>
      </c>
      <c r="C149" s="244">
        <f>+C130+C134+C139+C144</f>
        <v>5922336</v>
      </c>
      <c r="D149" s="244">
        <f>+D130+D134+D139+D144</f>
        <v>6289400</v>
      </c>
      <c r="E149" s="238">
        <f>+E130+E134+E139+E144</f>
        <v>6289400</v>
      </c>
    </row>
    <row r="150" spans="1:5" ht="13.5" customHeight="1" thickBot="1">
      <c r="A150" s="110" t="s">
        <v>15</v>
      </c>
      <c r="B150" s="418" t="s">
        <v>555</v>
      </c>
      <c r="C150" s="244">
        <f>+C129+C149</f>
        <v>268272863</v>
      </c>
      <c r="D150" s="244">
        <f>+D129+D149</f>
        <v>614314550</v>
      </c>
      <c r="E150" s="238">
        <f>+E129+E149</f>
        <v>263595640</v>
      </c>
    </row>
    <row r="151" spans="3:4" ht="13.5" customHeight="1">
      <c r="C151" s="667"/>
      <c r="D151" s="667">
        <f>D90-D150</f>
        <v>0</v>
      </c>
    </row>
    <row r="152" spans="3:5" ht="13.5" customHeight="1">
      <c r="C152" s="775"/>
      <c r="E152" s="691"/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13">
    <mergeCell ref="B6:B7"/>
    <mergeCell ref="C6:C7"/>
    <mergeCell ref="D6:E6"/>
    <mergeCell ref="A91:E91"/>
    <mergeCell ref="A93:A94"/>
    <mergeCell ref="B93:B94"/>
    <mergeCell ref="C93:C94"/>
    <mergeCell ref="D93:E93"/>
    <mergeCell ref="A1:E1"/>
    <mergeCell ref="A2:E2"/>
    <mergeCell ref="A3:E3"/>
    <mergeCell ref="A4:E4"/>
    <mergeCell ref="A6:A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6" r:id="rId1"/>
  <rowBreaks count="1" manualBreakCount="1">
    <brk id="90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="120" zoomScaleNormal="120" workbookViewId="0" topLeftCell="A1">
      <selection activeCell="O16" sqref="O16"/>
    </sheetView>
  </sheetViews>
  <sheetFormatPr defaultColWidth="9.00390625" defaultRowHeight="12.75"/>
  <cols>
    <col min="1" max="1" width="6.875" style="27" customWidth="1"/>
    <col min="2" max="2" width="32.375" style="26" customWidth="1"/>
    <col min="3" max="3" width="17.00390625" style="26" customWidth="1"/>
    <col min="4" max="9" width="12.875" style="26" customWidth="1"/>
    <col min="10" max="10" width="13.875" style="26" customWidth="1"/>
    <col min="11" max="11" width="4.00390625" style="26" customWidth="1"/>
    <col min="12" max="16384" width="9.375" style="26" customWidth="1"/>
  </cols>
  <sheetData>
    <row r="1" spans="1:10" ht="15.75">
      <c r="A1" s="841" t="s">
        <v>782</v>
      </c>
      <c r="B1" s="909"/>
      <c r="C1" s="909"/>
      <c r="D1" s="909"/>
      <c r="E1" s="909"/>
      <c r="F1" s="909"/>
      <c r="G1" s="909"/>
      <c r="H1" s="909"/>
      <c r="I1" s="909"/>
      <c r="J1" s="909"/>
    </row>
    <row r="2" spans="1:11" ht="14.25" thickBot="1">
      <c r="A2" s="361"/>
      <c r="B2" s="362"/>
      <c r="C2" s="362"/>
      <c r="D2" s="362"/>
      <c r="E2" s="362"/>
      <c r="F2" s="362"/>
      <c r="G2" s="362"/>
      <c r="H2" s="362"/>
      <c r="I2" s="362"/>
      <c r="J2" s="370" t="str">
        <f>'Z_1.tájékoztató_t.'!E5</f>
        <v>Forintban</v>
      </c>
      <c r="K2" s="840" t="str">
        <f>CONCATENATE("2. tájékoztató tábla ",Z_ALAPADATOK!A7," ",Z_ALAPADATOK!B7," ",Z_ALAPADATOK!C7," ",Z_ALAPADATOK!D7," ",Z_ALAPADATOK!E7," ",Z_ALAPADATOK!F7," ",Z_ALAPADATOK!G7," ",Z_ALAPADATOK!H7)</f>
        <v>2. tájékoztató tábla a 12 / 2020. ( VII.16. ) önkormányzati rendelethez</v>
      </c>
    </row>
    <row r="3" spans="1:11" s="422" customFormat="1" ht="26.25" customHeight="1">
      <c r="A3" s="910" t="s">
        <v>52</v>
      </c>
      <c r="B3" s="912" t="s">
        <v>556</v>
      </c>
      <c r="C3" s="912" t="s">
        <v>557</v>
      </c>
      <c r="D3" s="912" t="s">
        <v>558</v>
      </c>
      <c r="E3" s="912" t="s">
        <v>869</v>
      </c>
      <c r="F3" s="419" t="s">
        <v>559</v>
      </c>
      <c r="G3" s="420"/>
      <c r="H3" s="420"/>
      <c r="I3" s="421"/>
      <c r="J3" s="915" t="s">
        <v>560</v>
      </c>
      <c r="K3" s="840"/>
    </row>
    <row r="4" spans="1:11" s="426" customFormat="1" ht="32.25" customHeight="1" thickBot="1">
      <c r="A4" s="911"/>
      <c r="B4" s="913"/>
      <c r="C4" s="913"/>
      <c r="D4" s="914"/>
      <c r="E4" s="914"/>
      <c r="F4" s="423" t="s">
        <v>849</v>
      </c>
      <c r="G4" s="424" t="s">
        <v>784</v>
      </c>
      <c r="H4" s="424" t="s">
        <v>785</v>
      </c>
      <c r="I4" s="425" t="s">
        <v>786</v>
      </c>
      <c r="J4" s="916"/>
      <c r="K4" s="840"/>
    </row>
    <row r="5" spans="1:11" s="431" customFormat="1" ht="13.5" customHeight="1" thickBot="1">
      <c r="A5" s="427" t="s">
        <v>387</v>
      </c>
      <c r="B5" s="428" t="s">
        <v>561</v>
      </c>
      <c r="C5" s="429" t="s">
        <v>389</v>
      </c>
      <c r="D5" s="429" t="s">
        <v>391</v>
      </c>
      <c r="E5" s="429" t="s">
        <v>390</v>
      </c>
      <c r="F5" s="429" t="s">
        <v>392</v>
      </c>
      <c r="G5" s="429" t="s">
        <v>393</v>
      </c>
      <c r="H5" s="429" t="s">
        <v>394</v>
      </c>
      <c r="I5" s="429" t="s">
        <v>421</v>
      </c>
      <c r="J5" s="430" t="s">
        <v>562</v>
      </c>
      <c r="K5" s="840"/>
    </row>
    <row r="6" spans="1:11" ht="33.75" customHeight="1">
      <c r="A6" s="432" t="s">
        <v>6</v>
      </c>
      <c r="B6" s="433" t="s">
        <v>563</v>
      </c>
      <c r="C6" s="434"/>
      <c r="D6" s="435">
        <f aca="true" t="shared" si="0" ref="D6:I6">SUM(D7:D8)</f>
        <v>0</v>
      </c>
      <c r="E6" s="435">
        <f t="shared" si="0"/>
        <v>0</v>
      </c>
      <c r="F6" s="435">
        <f t="shared" si="0"/>
        <v>0</v>
      </c>
      <c r="G6" s="435">
        <f t="shared" si="0"/>
        <v>0</v>
      </c>
      <c r="H6" s="435">
        <f t="shared" si="0"/>
        <v>0</v>
      </c>
      <c r="I6" s="436">
        <f t="shared" si="0"/>
        <v>0</v>
      </c>
      <c r="J6" s="437">
        <f aca="true" t="shared" si="1" ref="J6:J18">SUM(F6:I6)</f>
        <v>0</v>
      </c>
      <c r="K6" s="840"/>
    </row>
    <row r="7" spans="1:11" ht="21" customHeight="1">
      <c r="A7" s="438" t="s">
        <v>7</v>
      </c>
      <c r="B7" s="439" t="s">
        <v>564</v>
      </c>
      <c r="C7" s="440"/>
      <c r="D7" s="21"/>
      <c r="E7" s="21"/>
      <c r="F7" s="21"/>
      <c r="G7" s="21"/>
      <c r="H7" s="21"/>
      <c r="I7" s="441"/>
      <c r="J7" s="442">
        <f t="shared" si="1"/>
        <v>0</v>
      </c>
      <c r="K7" s="840"/>
    </row>
    <row r="8" spans="1:11" ht="21" customHeight="1">
      <c r="A8" s="438" t="s">
        <v>8</v>
      </c>
      <c r="B8" s="439" t="s">
        <v>564</v>
      </c>
      <c r="C8" s="440"/>
      <c r="D8" s="21"/>
      <c r="E8" s="21"/>
      <c r="F8" s="21"/>
      <c r="G8" s="21"/>
      <c r="H8" s="21"/>
      <c r="I8" s="441"/>
      <c r="J8" s="442">
        <f t="shared" si="1"/>
        <v>0</v>
      </c>
      <c r="K8" s="840"/>
    </row>
    <row r="9" spans="1:11" ht="33" customHeight="1">
      <c r="A9" s="438" t="s">
        <v>9</v>
      </c>
      <c r="B9" s="443" t="s">
        <v>565</v>
      </c>
      <c r="C9" s="444"/>
      <c r="D9" s="445">
        <f aca="true" t="shared" si="2" ref="D9:I9">SUM(D10:D11)</f>
        <v>0</v>
      </c>
      <c r="E9" s="445">
        <f t="shared" si="2"/>
        <v>0</v>
      </c>
      <c r="F9" s="445">
        <f t="shared" si="2"/>
        <v>0</v>
      </c>
      <c r="G9" s="445">
        <f t="shared" si="2"/>
        <v>0</v>
      </c>
      <c r="H9" s="445">
        <f t="shared" si="2"/>
        <v>0</v>
      </c>
      <c r="I9" s="446">
        <f t="shared" si="2"/>
        <v>0</v>
      </c>
      <c r="J9" s="447">
        <f t="shared" si="1"/>
        <v>0</v>
      </c>
      <c r="K9" s="840"/>
    </row>
    <row r="10" spans="1:11" ht="21" customHeight="1">
      <c r="A10" s="438" t="s">
        <v>10</v>
      </c>
      <c r="B10" s="439" t="s">
        <v>564</v>
      </c>
      <c r="C10" s="440"/>
      <c r="D10" s="21"/>
      <c r="E10" s="21"/>
      <c r="F10" s="21"/>
      <c r="G10" s="21"/>
      <c r="H10" s="21"/>
      <c r="I10" s="441"/>
      <c r="J10" s="442">
        <f t="shared" si="1"/>
        <v>0</v>
      </c>
      <c r="K10" s="840"/>
    </row>
    <row r="11" spans="1:11" ht="18" customHeight="1">
      <c r="A11" s="438" t="s">
        <v>11</v>
      </c>
      <c r="B11" s="439" t="s">
        <v>564</v>
      </c>
      <c r="C11" s="440"/>
      <c r="D11" s="21"/>
      <c r="E11" s="21"/>
      <c r="F11" s="21"/>
      <c r="G11" s="21"/>
      <c r="H11" s="21"/>
      <c r="I11" s="441"/>
      <c r="J11" s="442">
        <f t="shared" si="1"/>
        <v>0</v>
      </c>
      <c r="K11" s="840"/>
    </row>
    <row r="12" spans="1:11" ht="21" customHeight="1">
      <c r="A12" s="438" t="s">
        <v>12</v>
      </c>
      <c r="B12" s="448" t="s">
        <v>566</v>
      </c>
      <c r="C12" s="444"/>
      <c r="D12" s="445">
        <f aca="true" t="shared" si="3" ref="D12:I12">SUM(D13:D13)</f>
        <v>318153639</v>
      </c>
      <c r="E12" s="445">
        <f t="shared" si="3"/>
        <v>0</v>
      </c>
      <c r="F12" s="445">
        <f t="shared" si="3"/>
        <v>0</v>
      </c>
      <c r="G12" s="445">
        <f t="shared" si="3"/>
        <v>90000000</v>
      </c>
      <c r="H12" s="445">
        <f t="shared" si="3"/>
        <v>180000000</v>
      </c>
      <c r="I12" s="446">
        <f t="shared" si="3"/>
        <v>48153639</v>
      </c>
      <c r="J12" s="447">
        <f t="shared" si="1"/>
        <v>318153639</v>
      </c>
      <c r="K12" s="840"/>
    </row>
    <row r="13" spans="1:11" ht="21" customHeight="1">
      <c r="A13" s="438" t="s">
        <v>13</v>
      </c>
      <c r="B13" s="439" t="s">
        <v>904</v>
      </c>
      <c r="C13" s="440"/>
      <c r="D13" s="21">
        <v>318153639</v>
      </c>
      <c r="E13" s="21"/>
      <c r="F13" s="21"/>
      <c r="G13" s="21">
        <v>90000000</v>
      </c>
      <c r="H13" s="21">
        <v>180000000</v>
      </c>
      <c r="I13" s="441">
        <v>48153639</v>
      </c>
      <c r="J13" s="442">
        <f t="shared" si="1"/>
        <v>318153639</v>
      </c>
      <c r="K13" s="840"/>
    </row>
    <row r="14" spans="1:11" ht="21" customHeight="1">
      <c r="A14" s="438" t="s">
        <v>14</v>
      </c>
      <c r="B14" s="448" t="s">
        <v>567</v>
      </c>
      <c r="C14" s="444"/>
      <c r="D14" s="445">
        <f aca="true" t="shared" si="4" ref="D14:I14">SUM(D15:D15)</f>
        <v>0</v>
      </c>
      <c r="E14" s="445">
        <f t="shared" si="4"/>
        <v>0</v>
      </c>
      <c r="F14" s="445">
        <f t="shared" si="4"/>
        <v>0</v>
      </c>
      <c r="G14" s="445">
        <f t="shared" si="4"/>
        <v>0</v>
      </c>
      <c r="H14" s="445">
        <f t="shared" si="4"/>
        <v>0</v>
      </c>
      <c r="I14" s="446">
        <f t="shared" si="4"/>
        <v>0</v>
      </c>
      <c r="J14" s="447">
        <f t="shared" si="1"/>
        <v>0</v>
      </c>
      <c r="K14" s="840"/>
    </row>
    <row r="15" spans="1:11" ht="21" customHeight="1">
      <c r="A15" s="438" t="s">
        <v>15</v>
      </c>
      <c r="B15" s="439" t="s">
        <v>564</v>
      </c>
      <c r="C15" s="440"/>
      <c r="D15" s="21"/>
      <c r="E15" s="21"/>
      <c r="F15" s="21"/>
      <c r="G15" s="21"/>
      <c r="H15" s="21"/>
      <c r="I15" s="441"/>
      <c r="J15" s="442">
        <f t="shared" si="1"/>
        <v>0</v>
      </c>
      <c r="K15" s="840"/>
    </row>
    <row r="16" spans="1:11" ht="21" customHeight="1">
      <c r="A16" s="449" t="s">
        <v>16</v>
      </c>
      <c r="B16" s="450" t="s">
        <v>568</v>
      </c>
      <c r="C16" s="451"/>
      <c r="D16" s="452">
        <f aca="true" t="shared" si="5" ref="D16:I16">SUM(D17:D18)</f>
        <v>0</v>
      </c>
      <c r="E16" s="452">
        <f t="shared" si="5"/>
        <v>0</v>
      </c>
      <c r="F16" s="452">
        <f t="shared" si="5"/>
        <v>0</v>
      </c>
      <c r="G16" s="452">
        <f t="shared" si="5"/>
        <v>0</v>
      </c>
      <c r="H16" s="452">
        <f t="shared" si="5"/>
        <v>0</v>
      </c>
      <c r="I16" s="453">
        <f t="shared" si="5"/>
        <v>0</v>
      </c>
      <c r="J16" s="447">
        <f t="shared" si="1"/>
        <v>0</v>
      </c>
      <c r="K16" s="840"/>
    </row>
    <row r="17" spans="1:11" ht="21" customHeight="1">
      <c r="A17" s="449" t="s">
        <v>17</v>
      </c>
      <c r="B17" s="439" t="s">
        <v>564</v>
      </c>
      <c r="C17" s="440"/>
      <c r="D17" s="21"/>
      <c r="E17" s="21"/>
      <c r="F17" s="21"/>
      <c r="G17" s="21"/>
      <c r="H17" s="21"/>
      <c r="I17" s="441"/>
      <c r="J17" s="442">
        <f t="shared" si="1"/>
        <v>0</v>
      </c>
      <c r="K17" s="840"/>
    </row>
    <row r="18" spans="1:11" ht="21" customHeight="1" thickBot="1">
      <c r="A18" s="449" t="s">
        <v>18</v>
      </c>
      <c r="B18" s="439" t="s">
        <v>564</v>
      </c>
      <c r="C18" s="454"/>
      <c r="D18" s="455"/>
      <c r="E18" s="455"/>
      <c r="F18" s="455"/>
      <c r="G18" s="455"/>
      <c r="H18" s="455"/>
      <c r="I18" s="456"/>
      <c r="J18" s="442">
        <f t="shared" si="1"/>
        <v>0</v>
      </c>
      <c r="K18" s="840"/>
    </row>
    <row r="19" spans="1:11" ht="21" customHeight="1" thickBot="1">
      <c r="A19" s="457" t="s">
        <v>19</v>
      </c>
      <c r="B19" s="458" t="s">
        <v>569</v>
      </c>
      <c r="C19" s="459"/>
      <c r="D19" s="460">
        <f aca="true" t="shared" si="6" ref="D19:J19">D6+D9+D12+D14+D16</f>
        <v>318153639</v>
      </c>
      <c r="E19" s="460">
        <f t="shared" si="6"/>
        <v>0</v>
      </c>
      <c r="F19" s="460">
        <f t="shared" si="6"/>
        <v>0</v>
      </c>
      <c r="G19" s="460">
        <f t="shared" si="6"/>
        <v>90000000</v>
      </c>
      <c r="H19" s="460">
        <f t="shared" si="6"/>
        <v>180000000</v>
      </c>
      <c r="I19" s="461">
        <f t="shared" si="6"/>
        <v>48153639</v>
      </c>
      <c r="J19" s="462">
        <f t="shared" si="6"/>
        <v>318153639</v>
      </c>
      <c r="K19" s="840"/>
    </row>
  </sheetData>
  <sheetProtection selectLockedCells="1" selectUnlockedCells="1"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zoomScale="120" zoomScaleNormal="120" workbookViewId="0" topLeftCell="A1">
      <selection activeCell="Q19" sqref="Q19"/>
    </sheetView>
  </sheetViews>
  <sheetFormatPr defaultColWidth="9.00390625" defaultRowHeight="12.75"/>
  <cols>
    <col min="1" max="1" width="6.875" style="27" customWidth="1"/>
    <col min="2" max="2" width="50.375" style="26" customWidth="1"/>
    <col min="3" max="4" width="12.875" style="26" customWidth="1"/>
    <col min="5" max="5" width="14.875" style="26" customWidth="1"/>
    <col min="6" max="6" width="13.875" style="26" customWidth="1"/>
    <col min="7" max="7" width="15.50390625" style="26" customWidth="1"/>
    <col min="8" max="8" width="16.875" style="26" customWidth="1"/>
    <col min="9" max="9" width="5.625" style="26" customWidth="1"/>
    <col min="10" max="16384" width="9.375" style="26" customWidth="1"/>
  </cols>
  <sheetData>
    <row r="1" spans="1:8" ht="17.25" customHeight="1">
      <c r="A1" s="841" t="s">
        <v>848</v>
      </c>
      <c r="B1" s="909"/>
      <c r="C1" s="909"/>
      <c r="D1" s="909"/>
      <c r="E1" s="909"/>
      <c r="F1" s="909"/>
      <c r="G1" s="909"/>
      <c r="H1" s="909"/>
    </row>
    <row r="2" spans="1:8" ht="12.75">
      <c r="A2" s="361"/>
      <c r="B2" s="362"/>
      <c r="C2" s="362"/>
      <c r="D2" s="362"/>
      <c r="E2" s="362"/>
      <c r="F2" s="362"/>
      <c r="G2" s="362"/>
      <c r="H2" s="362"/>
    </row>
    <row r="3" spans="1:9" s="463" customFormat="1" ht="15.75" thickBot="1">
      <c r="A3" s="621"/>
      <c r="B3" s="360"/>
      <c r="C3" s="360"/>
      <c r="D3" s="360"/>
      <c r="E3" s="360"/>
      <c r="F3" s="360"/>
      <c r="G3" s="360"/>
      <c r="H3" s="370" t="str">
        <f>'Z_2.tájékoztató_t.'!J2</f>
        <v>Forintban</v>
      </c>
      <c r="I3" s="917" t="str">
        <f>CONCATENATE("3. tájékoztató tábla ",Z_ALAPADATOK!A7," ",Z_ALAPADATOK!B7," ",Z_ALAPADATOK!C7," ",Z_ALAPADATOK!D7," ",Z_ALAPADATOK!E7," ",Z_ALAPADATOK!F7," ",Z_ALAPADATOK!G7," ",Z_ALAPADATOK!H7)</f>
        <v>3. tájékoztató tábla a 12 / 2020. ( VII.16. ) önkormányzati rendelethez</v>
      </c>
    </row>
    <row r="4" spans="1:9" s="422" customFormat="1" ht="26.25" customHeight="1">
      <c r="A4" s="918" t="s">
        <v>52</v>
      </c>
      <c r="B4" s="920" t="s">
        <v>570</v>
      </c>
      <c r="C4" s="918" t="s">
        <v>571</v>
      </c>
      <c r="D4" s="918" t="s">
        <v>572</v>
      </c>
      <c r="E4" s="922" t="s">
        <v>870</v>
      </c>
      <c r="F4" s="924" t="s">
        <v>573</v>
      </c>
      <c r="G4" s="925"/>
      <c r="H4" s="926" t="s">
        <v>871</v>
      </c>
      <c r="I4" s="917"/>
    </row>
    <row r="5" spans="1:9" s="426" customFormat="1" ht="40.5" customHeight="1" thickBot="1">
      <c r="A5" s="919"/>
      <c r="B5" s="921"/>
      <c r="C5" s="921"/>
      <c r="D5" s="919"/>
      <c r="E5" s="923"/>
      <c r="F5" s="622" t="s">
        <v>849</v>
      </c>
      <c r="G5" s="623" t="s">
        <v>784</v>
      </c>
      <c r="H5" s="927"/>
      <c r="I5" s="917"/>
    </row>
    <row r="6" spans="1:9" s="464" customFormat="1" ht="12.75" customHeight="1" thickBot="1">
      <c r="A6" s="624" t="s">
        <v>387</v>
      </c>
      <c r="B6" s="625" t="s">
        <v>388</v>
      </c>
      <c r="C6" s="625" t="s">
        <v>389</v>
      </c>
      <c r="D6" s="626" t="s">
        <v>391</v>
      </c>
      <c r="E6" s="624" t="s">
        <v>390</v>
      </c>
      <c r="F6" s="626" t="s">
        <v>392</v>
      </c>
      <c r="G6" s="626" t="s">
        <v>393</v>
      </c>
      <c r="H6" s="331" t="s">
        <v>394</v>
      </c>
      <c r="I6" s="917"/>
    </row>
    <row r="7" spans="1:9" ht="22.5" customHeight="1" thickBot="1">
      <c r="A7" s="465" t="s">
        <v>6</v>
      </c>
      <c r="B7" s="466" t="s">
        <v>574</v>
      </c>
      <c r="C7" s="467"/>
      <c r="D7" s="468"/>
      <c r="E7" s="469">
        <f>SUM(E8:E13)</f>
        <v>0</v>
      </c>
      <c r="F7" s="470">
        <f>SUM(F8:F13)</f>
        <v>0</v>
      </c>
      <c r="G7" s="470">
        <f>SUM(G8:G13)</f>
        <v>0</v>
      </c>
      <c r="H7" s="471">
        <f>SUM(H8:H13)</f>
        <v>0</v>
      </c>
      <c r="I7" s="917"/>
    </row>
    <row r="8" spans="1:9" ht="22.5" customHeight="1">
      <c r="A8" s="472" t="s">
        <v>7</v>
      </c>
      <c r="B8" s="473" t="s">
        <v>564</v>
      </c>
      <c r="C8" s="474"/>
      <c r="D8" s="475"/>
      <c r="E8" s="476"/>
      <c r="F8" s="21"/>
      <c r="G8" s="21"/>
      <c r="H8" s="477"/>
      <c r="I8" s="917"/>
    </row>
    <row r="9" spans="1:9" ht="22.5" customHeight="1">
      <c r="A9" s="472" t="s">
        <v>8</v>
      </c>
      <c r="B9" s="473" t="s">
        <v>564</v>
      </c>
      <c r="C9" s="474"/>
      <c r="D9" s="475"/>
      <c r="E9" s="476"/>
      <c r="F9" s="21"/>
      <c r="G9" s="21"/>
      <c r="H9" s="477"/>
      <c r="I9" s="917"/>
    </row>
    <row r="10" spans="1:9" ht="22.5" customHeight="1">
      <c r="A10" s="472" t="s">
        <v>9</v>
      </c>
      <c r="B10" s="473" t="s">
        <v>564</v>
      </c>
      <c r="C10" s="474"/>
      <c r="D10" s="475"/>
      <c r="E10" s="476"/>
      <c r="F10" s="21"/>
      <c r="G10" s="21"/>
      <c r="H10" s="477"/>
      <c r="I10" s="917"/>
    </row>
    <row r="11" spans="1:9" ht="22.5" customHeight="1">
      <c r="A11" s="472" t="s">
        <v>10</v>
      </c>
      <c r="B11" s="473" t="s">
        <v>564</v>
      </c>
      <c r="C11" s="474"/>
      <c r="D11" s="475"/>
      <c r="E11" s="476"/>
      <c r="F11" s="21"/>
      <c r="G11" s="21"/>
      <c r="H11" s="477"/>
      <c r="I11" s="917"/>
    </row>
    <row r="12" spans="1:9" ht="22.5" customHeight="1">
      <c r="A12" s="472" t="s">
        <v>11</v>
      </c>
      <c r="B12" s="473" t="s">
        <v>564</v>
      </c>
      <c r="C12" s="474"/>
      <c r="D12" s="475"/>
      <c r="E12" s="476"/>
      <c r="F12" s="21"/>
      <c r="G12" s="21"/>
      <c r="H12" s="477"/>
      <c r="I12" s="917"/>
    </row>
    <row r="13" spans="1:9" ht="22.5" customHeight="1" thickBot="1">
      <c r="A13" s="472" t="s">
        <v>12</v>
      </c>
      <c r="B13" s="473" t="s">
        <v>564</v>
      </c>
      <c r="C13" s="474"/>
      <c r="D13" s="475"/>
      <c r="E13" s="476"/>
      <c r="F13" s="21"/>
      <c r="G13" s="21"/>
      <c r="H13" s="477"/>
      <c r="I13" s="917"/>
    </row>
    <row r="14" spans="1:9" ht="22.5" customHeight="1" thickBot="1">
      <c r="A14" s="465" t="s">
        <v>13</v>
      </c>
      <c r="B14" s="466" t="s">
        <v>575</v>
      </c>
      <c r="C14" s="478"/>
      <c r="D14" s="479"/>
      <c r="E14" s="469">
        <f>SUM(E15:E20)</f>
        <v>0</v>
      </c>
      <c r="F14" s="470">
        <f>SUM(F15:F20)</f>
        <v>0</v>
      </c>
      <c r="G14" s="470">
        <f>SUM(G15:G20)</f>
        <v>0</v>
      </c>
      <c r="H14" s="471">
        <f>SUM(H15:H20)</f>
        <v>0</v>
      </c>
      <c r="I14" s="917"/>
    </row>
    <row r="15" spans="1:9" ht="22.5" customHeight="1">
      <c r="A15" s="472" t="s">
        <v>14</v>
      </c>
      <c r="B15" s="473" t="s">
        <v>564</v>
      </c>
      <c r="C15" s="474"/>
      <c r="D15" s="475"/>
      <c r="E15" s="476"/>
      <c r="F15" s="21"/>
      <c r="G15" s="21"/>
      <c r="H15" s="477"/>
      <c r="I15" s="917"/>
    </row>
    <row r="16" spans="1:9" ht="22.5" customHeight="1">
      <c r="A16" s="472" t="s">
        <v>15</v>
      </c>
      <c r="B16" s="473" t="s">
        <v>564</v>
      </c>
      <c r="C16" s="474"/>
      <c r="D16" s="475"/>
      <c r="E16" s="476"/>
      <c r="F16" s="21"/>
      <c r="G16" s="21"/>
      <c r="H16" s="477"/>
      <c r="I16" s="917"/>
    </row>
    <row r="17" spans="1:9" ht="22.5" customHeight="1">
      <c r="A17" s="472" t="s">
        <v>16</v>
      </c>
      <c r="B17" s="473" t="s">
        <v>564</v>
      </c>
      <c r="C17" s="474"/>
      <c r="D17" s="475"/>
      <c r="E17" s="476"/>
      <c r="F17" s="21"/>
      <c r="G17" s="21"/>
      <c r="H17" s="477"/>
      <c r="I17" s="917"/>
    </row>
    <row r="18" spans="1:9" ht="22.5" customHeight="1">
      <c r="A18" s="472" t="s">
        <v>17</v>
      </c>
      <c r="B18" s="473" t="s">
        <v>564</v>
      </c>
      <c r="C18" s="474"/>
      <c r="D18" s="475"/>
      <c r="E18" s="476"/>
      <c r="F18" s="21"/>
      <c r="G18" s="21"/>
      <c r="H18" s="477"/>
      <c r="I18" s="917"/>
    </row>
    <row r="19" spans="1:9" ht="22.5" customHeight="1">
      <c r="A19" s="472" t="s">
        <v>18</v>
      </c>
      <c r="B19" s="473" t="s">
        <v>564</v>
      </c>
      <c r="C19" s="474"/>
      <c r="D19" s="475"/>
      <c r="E19" s="476"/>
      <c r="F19" s="21"/>
      <c r="G19" s="21"/>
      <c r="H19" s="477"/>
      <c r="I19" s="917"/>
    </row>
    <row r="20" spans="1:9" ht="22.5" customHeight="1" thickBot="1">
      <c r="A20" s="472" t="s">
        <v>19</v>
      </c>
      <c r="B20" s="473" t="s">
        <v>564</v>
      </c>
      <c r="C20" s="474"/>
      <c r="D20" s="475"/>
      <c r="E20" s="476"/>
      <c r="F20" s="21"/>
      <c r="G20" s="21"/>
      <c r="H20" s="477"/>
      <c r="I20" s="917"/>
    </row>
    <row r="21" spans="1:9" ht="22.5" customHeight="1" thickBot="1">
      <c r="A21" s="465" t="s">
        <v>20</v>
      </c>
      <c r="B21" s="466" t="s">
        <v>576</v>
      </c>
      <c r="C21" s="467"/>
      <c r="D21" s="468"/>
      <c r="E21" s="469">
        <f>E7+E14</f>
        <v>0</v>
      </c>
      <c r="F21" s="470">
        <f>F7+F14</f>
        <v>0</v>
      </c>
      <c r="G21" s="470">
        <f>G7+G14</f>
        <v>0</v>
      </c>
      <c r="H21" s="471">
        <f>H7+H14</f>
        <v>0</v>
      </c>
      <c r="I21" s="917"/>
    </row>
    <row r="22" ht="19.5" customHeight="1"/>
  </sheetData>
  <sheetProtection sheet="1"/>
  <mergeCells count="9">
    <mergeCell ref="A1:H1"/>
    <mergeCell ref="I3:I21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C13" sqref="C13"/>
    </sheetView>
  </sheetViews>
  <sheetFormatPr defaultColWidth="9.00390625" defaultRowHeight="12.75"/>
  <cols>
    <col min="1" max="1" width="5.50390625" style="30" customWidth="1"/>
    <col min="2" max="2" width="36.875" style="30" customWidth="1"/>
    <col min="3" max="8" width="13.875" style="30" customWidth="1"/>
    <col min="9" max="9" width="15.125" style="30" customWidth="1"/>
    <col min="10" max="10" width="5.00390625" style="30" customWidth="1"/>
    <col min="11" max="16384" width="9.375" style="30" customWidth="1"/>
  </cols>
  <sheetData>
    <row r="1" spans="1:10" ht="34.5" customHeight="1">
      <c r="A1" s="935" t="s">
        <v>919</v>
      </c>
      <c r="B1" s="936"/>
      <c r="C1" s="936"/>
      <c r="D1" s="936"/>
      <c r="E1" s="936"/>
      <c r="F1" s="936"/>
      <c r="G1" s="936"/>
      <c r="H1" s="936"/>
      <c r="I1" s="936"/>
      <c r="J1" s="917" t="str">
        <f>CONCATENATE("4. tájékoztató tábla ",Z_ALAPADATOK!A7," ",Z_ALAPADATOK!B7," ",Z_ALAPADATOK!C7," ",Z_ALAPADATOK!D7," ",Z_ALAPADATOK!E7," ",Z_ALAPADATOK!F7," ",Z_ALAPADATOK!G7," ",Z_ALAPADATOK!H7)</f>
        <v>4. tájékoztató tábla a 12 / 2020. ( VII.16. ) önkormányzati rendelethez</v>
      </c>
    </row>
    <row r="2" spans="1:10" ht="14.25" thickBot="1">
      <c r="A2" s="65"/>
      <c r="B2" s="65"/>
      <c r="C2" s="65"/>
      <c r="D2" s="65"/>
      <c r="E2" s="65"/>
      <c r="F2" s="65"/>
      <c r="G2" s="65"/>
      <c r="H2" s="937" t="str">
        <f>'Z_3.tájékoztató_t.'!H3</f>
        <v>Forintban</v>
      </c>
      <c r="I2" s="937"/>
      <c r="J2" s="917"/>
    </row>
    <row r="3" spans="1:10" ht="13.5" thickBot="1">
      <c r="A3" s="938" t="s">
        <v>4</v>
      </c>
      <c r="B3" s="940" t="s">
        <v>577</v>
      </c>
      <c r="C3" s="942" t="s">
        <v>578</v>
      </c>
      <c r="D3" s="944" t="s">
        <v>579</v>
      </c>
      <c r="E3" s="945"/>
      <c r="F3" s="945"/>
      <c r="G3" s="945"/>
      <c r="H3" s="945"/>
      <c r="I3" s="946" t="s">
        <v>580</v>
      </c>
      <c r="J3" s="917"/>
    </row>
    <row r="4" spans="1:10" s="45" customFormat="1" ht="42" customHeight="1" thickBot="1">
      <c r="A4" s="939"/>
      <c r="B4" s="941"/>
      <c r="C4" s="943"/>
      <c r="D4" s="353" t="s">
        <v>581</v>
      </c>
      <c r="E4" s="353" t="s">
        <v>582</v>
      </c>
      <c r="F4" s="353" t="s">
        <v>583</v>
      </c>
      <c r="G4" s="627" t="s">
        <v>584</v>
      </c>
      <c r="H4" s="627" t="s">
        <v>585</v>
      </c>
      <c r="I4" s="947"/>
      <c r="J4" s="917"/>
    </row>
    <row r="5" spans="1:10" s="45" customFormat="1" ht="12" customHeight="1" thickBot="1">
      <c r="A5" s="384" t="s">
        <v>387</v>
      </c>
      <c r="B5" s="385" t="s">
        <v>388</v>
      </c>
      <c r="C5" s="385" t="s">
        <v>389</v>
      </c>
      <c r="D5" s="385" t="s">
        <v>391</v>
      </c>
      <c r="E5" s="385" t="s">
        <v>390</v>
      </c>
      <c r="F5" s="385" t="s">
        <v>392</v>
      </c>
      <c r="G5" s="385" t="s">
        <v>393</v>
      </c>
      <c r="H5" s="385" t="s">
        <v>586</v>
      </c>
      <c r="I5" s="387" t="s">
        <v>587</v>
      </c>
      <c r="J5" s="917"/>
    </row>
    <row r="6" spans="1:10" s="45" customFormat="1" ht="18" customHeight="1">
      <c r="A6" s="948" t="s">
        <v>588</v>
      </c>
      <c r="B6" s="949"/>
      <c r="C6" s="949"/>
      <c r="D6" s="949"/>
      <c r="E6" s="949"/>
      <c r="F6" s="949"/>
      <c r="G6" s="949"/>
      <c r="H6" s="949"/>
      <c r="I6" s="950"/>
      <c r="J6" s="917"/>
    </row>
    <row r="7" spans="1:10" ht="15.75" customHeight="1">
      <c r="A7" s="94" t="s">
        <v>6</v>
      </c>
      <c r="B7" s="75" t="s">
        <v>589</v>
      </c>
      <c r="C7" s="66"/>
      <c r="D7" s="66"/>
      <c r="E7" s="66"/>
      <c r="F7" s="66"/>
      <c r="G7" s="480"/>
      <c r="H7" s="481">
        <f aca="true" t="shared" si="0" ref="H7:H13">SUM(D7:G7)</f>
        <v>0</v>
      </c>
      <c r="I7" s="95">
        <f aca="true" t="shared" si="1" ref="I7:I13">C7+H7</f>
        <v>0</v>
      </c>
      <c r="J7" s="917"/>
    </row>
    <row r="8" spans="1:10" ht="22.5">
      <c r="A8" s="94" t="s">
        <v>7</v>
      </c>
      <c r="B8" s="75" t="s">
        <v>139</v>
      </c>
      <c r="C8" s="66"/>
      <c r="D8" s="66"/>
      <c r="E8" s="66"/>
      <c r="F8" s="66"/>
      <c r="G8" s="480"/>
      <c r="H8" s="481">
        <f t="shared" si="0"/>
        <v>0</v>
      </c>
      <c r="I8" s="95">
        <f t="shared" si="1"/>
        <v>0</v>
      </c>
      <c r="J8" s="917"/>
    </row>
    <row r="9" spans="1:10" ht="22.5">
      <c r="A9" s="94" t="s">
        <v>8</v>
      </c>
      <c r="B9" s="75" t="s">
        <v>140</v>
      </c>
      <c r="C9" s="66"/>
      <c r="D9" s="66"/>
      <c r="E9" s="66"/>
      <c r="F9" s="66"/>
      <c r="G9" s="480"/>
      <c r="H9" s="481">
        <f t="shared" si="0"/>
        <v>0</v>
      </c>
      <c r="I9" s="95">
        <f t="shared" si="1"/>
        <v>0</v>
      </c>
      <c r="J9" s="917"/>
    </row>
    <row r="10" spans="1:10" ht="15.75" customHeight="1">
      <c r="A10" s="94" t="s">
        <v>9</v>
      </c>
      <c r="B10" s="75" t="s">
        <v>141</v>
      </c>
      <c r="C10" s="66"/>
      <c r="D10" s="66"/>
      <c r="E10" s="66"/>
      <c r="F10" s="66"/>
      <c r="G10" s="480"/>
      <c r="H10" s="481">
        <f t="shared" si="0"/>
        <v>0</v>
      </c>
      <c r="I10" s="95">
        <f t="shared" si="1"/>
        <v>0</v>
      </c>
      <c r="J10" s="917"/>
    </row>
    <row r="11" spans="1:10" ht="22.5">
      <c r="A11" s="94" t="s">
        <v>10</v>
      </c>
      <c r="B11" s="75" t="s">
        <v>142</v>
      </c>
      <c r="C11" s="66"/>
      <c r="D11" s="66"/>
      <c r="E11" s="66"/>
      <c r="F11" s="66"/>
      <c r="G11" s="480"/>
      <c r="H11" s="481">
        <f t="shared" si="0"/>
        <v>0</v>
      </c>
      <c r="I11" s="95">
        <f t="shared" si="1"/>
        <v>0</v>
      </c>
      <c r="J11" s="917"/>
    </row>
    <row r="12" spans="1:10" ht="15.75" customHeight="1">
      <c r="A12" s="96" t="s">
        <v>11</v>
      </c>
      <c r="B12" s="97" t="s">
        <v>590</v>
      </c>
      <c r="C12" s="67">
        <v>4557</v>
      </c>
      <c r="D12" s="67"/>
      <c r="E12" s="67"/>
      <c r="F12" s="67"/>
      <c r="G12" s="482"/>
      <c r="H12" s="481">
        <f t="shared" si="0"/>
        <v>0</v>
      </c>
      <c r="I12" s="95">
        <f t="shared" si="1"/>
        <v>4557</v>
      </c>
      <c r="J12" s="917"/>
    </row>
    <row r="13" spans="1:10" ht="15.75" customHeight="1" thickBot="1">
      <c r="A13" s="483" t="s">
        <v>12</v>
      </c>
      <c r="B13" s="484" t="s">
        <v>591</v>
      </c>
      <c r="C13" s="485">
        <v>7151762</v>
      </c>
      <c r="D13" s="485"/>
      <c r="E13" s="485"/>
      <c r="F13" s="485"/>
      <c r="G13" s="486"/>
      <c r="H13" s="481">
        <f t="shared" si="0"/>
        <v>0</v>
      </c>
      <c r="I13" s="95">
        <f t="shared" si="1"/>
        <v>7151762</v>
      </c>
      <c r="J13" s="917"/>
    </row>
    <row r="14" spans="1:10" s="68" customFormat="1" ht="18" customHeight="1" thickBot="1">
      <c r="A14" s="931" t="s">
        <v>592</v>
      </c>
      <c r="B14" s="932"/>
      <c r="C14" s="98">
        <f aca="true" t="shared" si="2" ref="C14:I14">SUM(C7:C13)</f>
        <v>7156319</v>
      </c>
      <c r="D14" s="98">
        <f>SUM(D7:D13)</f>
        <v>0</v>
      </c>
      <c r="E14" s="98">
        <f t="shared" si="2"/>
        <v>0</v>
      </c>
      <c r="F14" s="98">
        <f t="shared" si="2"/>
        <v>0</v>
      </c>
      <c r="G14" s="487">
        <f t="shared" si="2"/>
        <v>0</v>
      </c>
      <c r="H14" s="487">
        <f t="shared" si="2"/>
        <v>0</v>
      </c>
      <c r="I14" s="99">
        <f t="shared" si="2"/>
        <v>7156319</v>
      </c>
      <c r="J14" s="917"/>
    </row>
    <row r="15" spans="1:10" s="65" customFormat="1" ht="18" customHeight="1">
      <c r="A15" s="928" t="s">
        <v>593</v>
      </c>
      <c r="B15" s="929"/>
      <c r="C15" s="929"/>
      <c r="D15" s="929"/>
      <c r="E15" s="929"/>
      <c r="F15" s="929"/>
      <c r="G15" s="929"/>
      <c r="H15" s="929"/>
      <c r="I15" s="930"/>
      <c r="J15" s="917"/>
    </row>
    <row r="16" spans="1:10" s="65" customFormat="1" ht="12.75">
      <c r="A16" s="94" t="s">
        <v>6</v>
      </c>
      <c r="B16" s="75" t="s">
        <v>594</v>
      </c>
      <c r="C16" s="66"/>
      <c r="D16" s="66"/>
      <c r="E16" s="66"/>
      <c r="F16" s="66"/>
      <c r="G16" s="480"/>
      <c r="H16" s="481">
        <f>SUM(D16:G16)</f>
        <v>0</v>
      </c>
      <c r="I16" s="95">
        <f>C16+H16</f>
        <v>0</v>
      </c>
      <c r="J16" s="917"/>
    </row>
    <row r="17" spans="1:10" ht="13.5" thickBot="1">
      <c r="A17" s="483" t="s">
        <v>7</v>
      </c>
      <c r="B17" s="484" t="s">
        <v>591</v>
      </c>
      <c r="C17" s="485"/>
      <c r="D17" s="485"/>
      <c r="E17" s="485"/>
      <c r="F17" s="485"/>
      <c r="G17" s="486"/>
      <c r="H17" s="481">
        <f>SUM(D17:G17)</f>
        <v>0</v>
      </c>
      <c r="I17" s="488">
        <f>C17+H17</f>
        <v>0</v>
      </c>
      <c r="J17" s="917"/>
    </row>
    <row r="18" spans="1:10" ht="15.75" customHeight="1" thickBot="1">
      <c r="A18" s="931" t="s">
        <v>595</v>
      </c>
      <c r="B18" s="932"/>
      <c r="C18" s="98">
        <f aca="true" t="shared" si="3" ref="C18:I18">SUM(C16:C17)</f>
        <v>0</v>
      </c>
      <c r="D18" s="98">
        <f t="shared" si="3"/>
        <v>0</v>
      </c>
      <c r="E18" s="98">
        <f t="shared" si="3"/>
        <v>0</v>
      </c>
      <c r="F18" s="98">
        <f t="shared" si="3"/>
        <v>0</v>
      </c>
      <c r="G18" s="487">
        <f t="shared" si="3"/>
        <v>0</v>
      </c>
      <c r="H18" s="487">
        <f t="shared" si="3"/>
        <v>0</v>
      </c>
      <c r="I18" s="99">
        <f t="shared" si="3"/>
        <v>0</v>
      </c>
      <c r="J18" s="917"/>
    </row>
    <row r="19" spans="1:10" ht="18" customHeight="1" thickBot="1">
      <c r="A19" s="933" t="s">
        <v>596</v>
      </c>
      <c r="B19" s="934"/>
      <c r="C19" s="489">
        <f aca="true" t="shared" si="4" ref="C19:I19">C14+C18</f>
        <v>7156319</v>
      </c>
      <c r="D19" s="489">
        <f t="shared" si="4"/>
        <v>0</v>
      </c>
      <c r="E19" s="489">
        <f t="shared" si="4"/>
        <v>0</v>
      </c>
      <c r="F19" s="489">
        <f t="shared" si="4"/>
        <v>0</v>
      </c>
      <c r="G19" s="489">
        <f t="shared" si="4"/>
        <v>0</v>
      </c>
      <c r="H19" s="489">
        <f t="shared" si="4"/>
        <v>0</v>
      </c>
      <c r="I19" s="99">
        <f t="shared" si="4"/>
        <v>7156319</v>
      </c>
      <c r="J19" s="917"/>
    </row>
  </sheetData>
  <sheetProtection sheet="1"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1">
      <selection activeCell="H15" sqref="H15"/>
    </sheetView>
  </sheetViews>
  <sheetFormatPr defaultColWidth="9.00390625" defaultRowHeight="12.75"/>
  <cols>
    <col min="1" max="1" width="5.875" style="507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952" t="str">
        <f>CONCATENATE("5. tájékoztató tábla ",Z_ALAPADATOK!A7," ",Z_ALAPADATOK!B7," ",Z_ALAPADATOK!C7," ",Z_ALAPADATOK!D7," ",Z_ALAPADATOK!E7," ",Z_ALAPADATOK!F7," ",Z_ALAPADATOK!G7," ",Z_ALAPADATOK!H7)</f>
        <v>5. tájékoztató tábla a 12 / 2020. ( VII.16. ) önkormányzati rendelethez</v>
      </c>
      <c r="B1" s="843"/>
      <c r="C1" s="843"/>
      <c r="D1" s="843"/>
    </row>
    <row r="2" spans="1:4" ht="12.75">
      <c r="A2" s="629"/>
      <c r="B2" s="630"/>
      <c r="C2" s="630"/>
      <c r="D2" s="630"/>
    </row>
    <row r="3" spans="1:4" ht="15.75">
      <c r="A3" s="935" t="s">
        <v>790</v>
      </c>
      <c r="B3" s="909"/>
      <c r="C3" s="909"/>
      <c r="D3" s="909"/>
    </row>
    <row r="4" spans="1:4" ht="15.75">
      <c r="A4" s="935" t="s">
        <v>791</v>
      </c>
      <c r="B4" s="909"/>
      <c r="C4" s="909"/>
      <c r="D4" s="909"/>
    </row>
    <row r="5" spans="1:4" s="463" customFormat="1" ht="15.75" thickBot="1">
      <c r="A5" s="621"/>
      <c r="B5" s="360"/>
      <c r="C5" s="360"/>
      <c r="D5" s="370" t="str">
        <f>'Z_3.tájékoztató_t.'!H3</f>
        <v>Forintban</v>
      </c>
    </row>
    <row r="6" spans="1:4" s="45" customFormat="1" ht="48" customHeight="1" thickBot="1">
      <c r="A6" s="346" t="s">
        <v>4</v>
      </c>
      <c r="B6" s="353" t="s">
        <v>5</v>
      </c>
      <c r="C6" s="353" t="s">
        <v>597</v>
      </c>
      <c r="D6" s="631" t="s">
        <v>598</v>
      </c>
    </row>
    <row r="7" spans="1:4" s="45" customFormat="1" ht="13.5" customHeight="1" thickBot="1">
      <c r="A7" s="632" t="s">
        <v>387</v>
      </c>
      <c r="B7" s="633" t="s">
        <v>388</v>
      </c>
      <c r="C7" s="633" t="s">
        <v>389</v>
      </c>
      <c r="D7" s="634" t="s">
        <v>391</v>
      </c>
    </row>
    <row r="8" spans="1:4" ht="18" customHeight="1">
      <c r="A8" s="490" t="s">
        <v>6</v>
      </c>
      <c r="B8" s="491" t="s">
        <v>599</v>
      </c>
      <c r="C8" s="492"/>
      <c r="D8" s="493"/>
    </row>
    <row r="9" spans="1:4" ht="18" customHeight="1">
      <c r="A9" s="494" t="s">
        <v>7</v>
      </c>
      <c r="B9" s="495" t="s">
        <v>600</v>
      </c>
      <c r="C9" s="496"/>
      <c r="D9" s="497"/>
    </row>
    <row r="10" spans="1:4" ht="18" customHeight="1">
      <c r="A10" s="494" t="s">
        <v>8</v>
      </c>
      <c r="B10" s="495" t="s">
        <v>601</v>
      </c>
      <c r="C10" s="496"/>
      <c r="D10" s="497"/>
    </row>
    <row r="11" spans="1:4" ht="18" customHeight="1">
      <c r="A11" s="494" t="s">
        <v>9</v>
      </c>
      <c r="B11" s="495" t="s">
        <v>602</v>
      </c>
      <c r="C11" s="496"/>
      <c r="D11" s="497"/>
    </row>
    <row r="12" spans="1:4" ht="18" customHeight="1">
      <c r="A12" s="498" t="s">
        <v>10</v>
      </c>
      <c r="B12" s="495" t="s">
        <v>603</v>
      </c>
      <c r="C12" s="496"/>
      <c r="D12" s="497"/>
    </row>
    <row r="13" spans="1:4" ht="18" customHeight="1">
      <c r="A13" s="494" t="s">
        <v>11</v>
      </c>
      <c r="B13" s="495" t="s">
        <v>604</v>
      </c>
      <c r="C13" s="496"/>
      <c r="D13" s="497"/>
    </row>
    <row r="14" spans="1:4" ht="18" customHeight="1">
      <c r="A14" s="498" t="s">
        <v>12</v>
      </c>
      <c r="B14" s="499" t="s">
        <v>605</v>
      </c>
      <c r="C14" s="496"/>
      <c r="D14" s="497"/>
    </row>
    <row r="15" spans="1:4" ht="18" customHeight="1">
      <c r="A15" s="498" t="s">
        <v>13</v>
      </c>
      <c r="B15" s="499" t="s">
        <v>606</v>
      </c>
      <c r="C15" s="496"/>
      <c r="D15" s="497"/>
    </row>
    <row r="16" spans="1:4" ht="18" customHeight="1">
      <c r="A16" s="494" t="s">
        <v>14</v>
      </c>
      <c r="B16" s="499" t="s">
        <v>607</v>
      </c>
      <c r="C16" s="496"/>
      <c r="D16" s="497"/>
    </row>
    <row r="17" spans="1:4" ht="18" customHeight="1">
      <c r="A17" s="498" t="s">
        <v>15</v>
      </c>
      <c r="B17" s="499" t="s">
        <v>608</v>
      </c>
      <c r="C17" s="496"/>
      <c r="D17" s="497"/>
    </row>
    <row r="18" spans="1:4" ht="22.5">
      <c r="A18" s="494" t="s">
        <v>16</v>
      </c>
      <c r="B18" s="499" t="s">
        <v>609</v>
      </c>
      <c r="C18" s="496"/>
      <c r="D18" s="497"/>
    </row>
    <row r="19" spans="1:4" ht="18" customHeight="1">
      <c r="A19" s="498" t="s">
        <v>17</v>
      </c>
      <c r="B19" s="495" t="s">
        <v>610</v>
      </c>
      <c r="C19" s="496"/>
      <c r="D19" s="497"/>
    </row>
    <row r="20" spans="1:4" ht="18" customHeight="1">
      <c r="A20" s="494" t="s">
        <v>18</v>
      </c>
      <c r="B20" s="495" t="s">
        <v>611</v>
      </c>
      <c r="C20" s="496"/>
      <c r="D20" s="497"/>
    </row>
    <row r="21" spans="1:4" ht="18" customHeight="1">
      <c r="A21" s="498" t="s">
        <v>19</v>
      </c>
      <c r="B21" s="495" t="s">
        <v>612</v>
      </c>
      <c r="C21" s="496"/>
      <c r="D21" s="497"/>
    </row>
    <row r="22" spans="1:4" ht="18" customHeight="1">
      <c r="A22" s="494" t="s">
        <v>20</v>
      </c>
      <c r="B22" s="495" t="s">
        <v>613</v>
      </c>
      <c r="C22" s="496"/>
      <c r="D22" s="497"/>
    </row>
    <row r="23" spans="1:4" ht="18" customHeight="1">
      <c r="A23" s="498" t="s">
        <v>21</v>
      </c>
      <c r="B23" s="495" t="s">
        <v>614</v>
      </c>
      <c r="C23" s="496"/>
      <c r="D23" s="497"/>
    </row>
    <row r="24" spans="1:4" ht="18" customHeight="1">
      <c r="A24" s="494" t="s">
        <v>22</v>
      </c>
      <c r="B24" s="500"/>
      <c r="C24" s="496"/>
      <c r="D24" s="497"/>
    </row>
    <row r="25" spans="1:4" ht="18" customHeight="1">
      <c r="A25" s="498" t="s">
        <v>23</v>
      </c>
      <c r="B25" s="500"/>
      <c r="C25" s="496"/>
      <c r="D25" s="497"/>
    </row>
    <row r="26" spans="1:4" ht="18" customHeight="1">
      <c r="A26" s="494" t="s">
        <v>24</v>
      </c>
      <c r="B26" s="500"/>
      <c r="C26" s="496"/>
      <c r="D26" s="497"/>
    </row>
    <row r="27" spans="1:4" ht="18" customHeight="1">
      <c r="A27" s="498" t="s">
        <v>25</v>
      </c>
      <c r="B27" s="500"/>
      <c r="C27" s="496"/>
      <c r="D27" s="497"/>
    </row>
    <row r="28" spans="1:4" ht="18" customHeight="1">
      <c r="A28" s="494" t="s">
        <v>26</v>
      </c>
      <c r="B28" s="500"/>
      <c r="C28" s="496"/>
      <c r="D28" s="497"/>
    </row>
    <row r="29" spans="1:4" ht="18" customHeight="1">
      <c r="A29" s="498" t="s">
        <v>27</v>
      </c>
      <c r="B29" s="500"/>
      <c r="C29" s="496"/>
      <c r="D29" s="497"/>
    </row>
    <row r="30" spans="1:4" ht="18" customHeight="1">
      <c r="A30" s="494" t="s">
        <v>28</v>
      </c>
      <c r="B30" s="500"/>
      <c r="C30" s="496"/>
      <c r="D30" s="497"/>
    </row>
    <row r="31" spans="1:4" ht="18" customHeight="1">
      <c r="A31" s="498" t="s">
        <v>29</v>
      </c>
      <c r="B31" s="500"/>
      <c r="C31" s="496"/>
      <c r="D31" s="497"/>
    </row>
    <row r="32" spans="1:4" ht="18" customHeight="1" thickBot="1">
      <c r="A32" s="501" t="s">
        <v>30</v>
      </c>
      <c r="B32" s="502"/>
      <c r="C32" s="503"/>
      <c r="D32" s="504"/>
    </row>
    <row r="33" spans="1:4" ht="18" customHeight="1" thickBot="1">
      <c r="A33" s="505" t="s">
        <v>31</v>
      </c>
      <c r="B33" s="628" t="s">
        <v>38</v>
      </c>
      <c r="C33" s="470">
        <f>+C8+C9+C10+C11+C12+C19+C20+C21+C22+C23+C24+C25+C26+C27+C28+C29+C30+C31+C32</f>
        <v>0</v>
      </c>
      <c r="D33" s="471">
        <f>+D8+D9+D10+D11+D12+D19+D20+D21+D22+D23+D24+D25+D26+D27+D28+D29+D30+D31+D32</f>
        <v>0</v>
      </c>
    </row>
    <row r="34" spans="1:4" ht="25.5" customHeight="1">
      <c r="A34" s="506"/>
      <c r="B34" s="951" t="s">
        <v>615</v>
      </c>
      <c r="C34" s="951"/>
      <c r="D34" s="951"/>
    </row>
  </sheetData>
  <sheetProtection sheet="1"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"/>
  <sheetViews>
    <sheetView zoomScale="120" zoomScaleNormal="120" workbookViewId="0" topLeftCell="A1">
      <selection activeCell="E18" sqref="E18"/>
    </sheetView>
  </sheetViews>
  <sheetFormatPr defaultColWidth="9.00390625" defaultRowHeight="12.75"/>
  <cols>
    <col min="1" max="1" width="6.625" style="30" customWidth="1"/>
    <col min="2" max="2" width="40.875" style="30" customWidth="1"/>
    <col min="3" max="3" width="24.875" style="30" customWidth="1"/>
    <col min="4" max="5" width="12.875" style="30" customWidth="1"/>
    <col min="6" max="16384" width="9.375" style="30" customWidth="1"/>
  </cols>
  <sheetData>
    <row r="1" spans="1:5" ht="15">
      <c r="A1" s="955" t="str">
        <f>CONCATENATE("6. tájékoztató tábla ",Z_ALAPADATOK!A7," ",Z_ALAPADATOK!B7," ",Z_ALAPADATOK!C7," ",Z_ALAPADATOK!D7," ",Z_ALAPADATOK!E7," ",Z_ALAPADATOK!F7," ",Z_ALAPADATOK!G7," ",Z_ALAPADATOK!H7)</f>
        <v>6. tájékoztató tábla a 12 / 2020. ( VII.16. ) önkormányzati rendelethez</v>
      </c>
      <c r="B1" s="955"/>
      <c r="C1" s="955"/>
      <c r="D1" s="955"/>
      <c r="E1" s="955"/>
    </row>
    <row r="2" spans="1:5" ht="12.75">
      <c r="A2" s="65"/>
      <c r="B2" s="65"/>
      <c r="C2" s="65"/>
      <c r="D2" s="65"/>
      <c r="E2" s="65"/>
    </row>
    <row r="3" spans="1:5" ht="15.75">
      <c r="A3" s="871" t="s">
        <v>792</v>
      </c>
      <c r="B3" s="871"/>
      <c r="C3" s="871"/>
      <c r="D3" s="871"/>
      <c r="E3" s="871"/>
    </row>
    <row r="4" spans="1:5" ht="15.75">
      <c r="A4" s="871" t="s">
        <v>920</v>
      </c>
      <c r="B4" s="871"/>
      <c r="C4" s="871"/>
      <c r="D4" s="871"/>
      <c r="E4" s="871"/>
    </row>
    <row r="5" spans="1:5" ht="12.75">
      <c r="A5" s="65"/>
      <c r="B5" s="65"/>
      <c r="C5" s="65"/>
      <c r="D5" s="65"/>
      <c r="E5" s="65"/>
    </row>
    <row r="6" spans="1:5" ht="14.25" thickBot="1">
      <c r="A6" s="65"/>
      <c r="B6" s="65"/>
      <c r="C6" s="635"/>
      <c r="D6" s="635"/>
      <c r="E6" s="635" t="str">
        <f>'Z_5.tájékoztató_t.'!D5</f>
        <v>Forintban</v>
      </c>
    </row>
    <row r="7" spans="1:5" ht="42.75" customHeight="1" thickBot="1">
      <c r="A7" s="699" t="s">
        <v>52</v>
      </c>
      <c r="B7" s="700" t="s">
        <v>616</v>
      </c>
      <c r="C7" s="700" t="s">
        <v>617</v>
      </c>
      <c r="D7" s="699" t="s">
        <v>618</v>
      </c>
      <c r="E7" s="699" t="s">
        <v>619</v>
      </c>
    </row>
    <row r="8" spans="1:5" ht="15.75" customHeight="1">
      <c r="A8" s="508" t="s">
        <v>6</v>
      </c>
      <c r="B8" s="701" t="s">
        <v>891</v>
      </c>
      <c r="C8" s="701" t="s">
        <v>901</v>
      </c>
      <c r="D8" s="702">
        <v>700000</v>
      </c>
      <c r="E8" s="509">
        <v>700000</v>
      </c>
    </row>
    <row r="9" spans="1:5" ht="15.75" customHeight="1">
      <c r="A9" s="510" t="s">
        <v>7</v>
      </c>
      <c r="B9" s="703" t="s">
        <v>892</v>
      </c>
      <c r="C9" s="703" t="s">
        <v>901</v>
      </c>
      <c r="D9" s="704">
        <v>100000</v>
      </c>
      <c r="E9" s="512">
        <v>100000</v>
      </c>
    </row>
    <row r="10" spans="1:5" ht="15.75" customHeight="1">
      <c r="A10" s="510" t="s">
        <v>8</v>
      </c>
      <c r="B10" s="703" t="s">
        <v>893</v>
      </c>
      <c r="C10" s="703" t="s">
        <v>901</v>
      </c>
      <c r="D10" s="704">
        <v>300000</v>
      </c>
      <c r="E10" s="512">
        <v>300000</v>
      </c>
    </row>
    <row r="11" spans="1:5" ht="15.75" customHeight="1">
      <c r="A11" s="510" t="s">
        <v>9</v>
      </c>
      <c r="B11" s="703" t="s">
        <v>894</v>
      </c>
      <c r="C11" s="703" t="s">
        <v>901</v>
      </c>
      <c r="D11" s="704">
        <v>75000</v>
      </c>
      <c r="E11" s="512">
        <v>75000</v>
      </c>
    </row>
    <row r="12" spans="1:5" ht="15.75" customHeight="1">
      <c r="A12" s="510" t="s">
        <v>10</v>
      </c>
      <c r="B12" s="703" t="s">
        <v>895</v>
      </c>
      <c r="C12" s="703" t="s">
        <v>901</v>
      </c>
      <c r="D12" s="704">
        <v>75000</v>
      </c>
      <c r="E12" s="512">
        <v>75000</v>
      </c>
    </row>
    <row r="13" spans="1:5" ht="15.75" customHeight="1">
      <c r="A13" s="510" t="s">
        <v>11</v>
      </c>
      <c r="B13" s="703" t="s">
        <v>896</v>
      </c>
      <c r="C13" s="703" t="s">
        <v>901</v>
      </c>
      <c r="D13" s="704">
        <v>40000</v>
      </c>
      <c r="E13" s="512">
        <v>40000</v>
      </c>
    </row>
    <row r="14" spans="1:5" ht="15.75" customHeight="1">
      <c r="A14" s="510" t="s">
        <v>12</v>
      </c>
      <c r="B14" s="703" t="s">
        <v>897</v>
      </c>
      <c r="C14" s="703" t="s">
        <v>901</v>
      </c>
      <c r="D14" s="704">
        <v>40000</v>
      </c>
      <c r="E14" s="512">
        <v>40000</v>
      </c>
    </row>
    <row r="15" spans="1:5" ht="15.75" customHeight="1">
      <c r="A15" s="510" t="s">
        <v>13</v>
      </c>
      <c r="B15" s="703" t="s">
        <v>898</v>
      </c>
      <c r="C15" s="703" t="s">
        <v>901</v>
      </c>
      <c r="D15" s="704">
        <v>50000</v>
      </c>
      <c r="E15" s="512">
        <v>50000</v>
      </c>
    </row>
    <row r="16" spans="1:5" ht="15.75" customHeight="1">
      <c r="A16" s="510" t="s">
        <v>14</v>
      </c>
      <c r="B16" s="703" t="s">
        <v>899</v>
      </c>
      <c r="C16" s="703" t="s">
        <v>901</v>
      </c>
      <c r="D16" s="704">
        <v>30000</v>
      </c>
      <c r="E16" s="512">
        <v>30000</v>
      </c>
    </row>
    <row r="17" spans="1:5" ht="15.75" customHeight="1">
      <c r="A17" s="510" t="s">
        <v>15</v>
      </c>
      <c r="B17" s="703" t="s">
        <v>900</v>
      </c>
      <c r="C17" s="703" t="s">
        <v>902</v>
      </c>
      <c r="D17" s="704">
        <v>20000</v>
      </c>
      <c r="E17" s="512">
        <v>10000</v>
      </c>
    </row>
    <row r="18" spans="1:5" ht="15.75" customHeight="1">
      <c r="A18" s="510" t="s">
        <v>16</v>
      </c>
      <c r="B18" s="776" t="s">
        <v>921</v>
      </c>
      <c r="C18" s="703" t="s">
        <v>901</v>
      </c>
      <c r="D18" s="704">
        <v>100000</v>
      </c>
      <c r="E18" s="512">
        <v>100000</v>
      </c>
    </row>
    <row r="19" spans="1:5" ht="15.75" customHeight="1">
      <c r="A19" s="510" t="s">
        <v>17</v>
      </c>
      <c r="B19" s="777" t="s">
        <v>922</v>
      </c>
      <c r="C19" s="703" t="s">
        <v>901</v>
      </c>
      <c r="D19" s="704">
        <v>170000</v>
      </c>
      <c r="E19" s="512">
        <v>169501</v>
      </c>
    </row>
    <row r="20" spans="1:5" ht="15.75" customHeight="1">
      <c r="A20" s="510" t="s">
        <v>18</v>
      </c>
      <c r="B20" s="705" t="s">
        <v>923</v>
      </c>
      <c r="C20" s="703" t="s">
        <v>901</v>
      </c>
      <c r="D20" s="706">
        <v>420000</v>
      </c>
      <c r="E20" s="512">
        <v>420000</v>
      </c>
    </row>
    <row r="21" spans="1:5" ht="15.75" customHeight="1">
      <c r="A21" s="510" t="s">
        <v>19</v>
      </c>
      <c r="B21" s="778" t="s">
        <v>924</v>
      </c>
      <c r="C21" s="778" t="s">
        <v>925</v>
      </c>
      <c r="D21" s="779">
        <v>150000</v>
      </c>
      <c r="E21" s="780">
        <v>150000</v>
      </c>
    </row>
    <row r="22" spans="1:5" ht="15.75" customHeight="1">
      <c r="A22" s="510" t="s">
        <v>20</v>
      </c>
      <c r="B22" s="511"/>
      <c r="C22" s="511"/>
      <c r="D22" s="707"/>
      <c r="E22" s="512"/>
    </row>
    <row r="23" spans="1:5" ht="15.75" customHeight="1" thickBot="1">
      <c r="A23" s="708" t="s">
        <v>21</v>
      </c>
      <c r="B23" s="698"/>
      <c r="C23" s="698"/>
      <c r="D23" s="709"/>
      <c r="E23" s="710"/>
    </row>
    <row r="24" spans="1:5" ht="15.75" customHeight="1" thickBot="1">
      <c r="A24" s="953" t="s">
        <v>38</v>
      </c>
      <c r="B24" s="954"/>
      <c r="C24" s="513"/>
      <c r="D24" s="514">
        <f>SUM(D8:D23)</f>
        <v>2270000</v>
      </c>
      <c r="E24" s="515">
        <f>SUM(E8:E23)</f>
        <v>2259501</v>
      </c>
    </row>
  </sheetData>
  <sheetProtection selectLockedCells="1" selectUnlockedCells="1"/>
  <mergeCells count="4">
    <mergeCell ref="A24:B24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76"/>
  <sheetViews>
    <sheetView zoomScale="120" zoomScaleNormal="120" zoomScaleSheetLayoutView="120" workbookViewId="0" topLeftCell="A1">
      <selection activeCell="E14" sqref="E14"/>
    </sheetView>
  </sheetViews>
  <sheetFormatPr defaultColWidth="12.00390625" defaultRowHeight="12.75"/>
  <cols>
    <col min="1" max="1" width="67.125" style="516" customWidth="1"/>
    <col min="2" max="2" width="6.125" style="517" customWidth="1"/>
    <col min="3" max="4" width="12.125" style="516" customWidth="1"/>
    <col min="5" max="5" width="12.125" style="543" customWidth="1"/>
    <col min="6" max="16384" width="12.00390625" style="516" customWidth="1"/>
  </cols>
  <sheetData>
    <row r="1" spans="1:5" ht="15.75">
      <c r="A1" s="957" t="str">
        <f>CONCATENATE("7.1. tájékoztató tábla ",Z_ALAPADATOK!A7," ",Z_ALAPADATOK!B7," ",Z_ALAPADATOK!C7," ",Z_ALAPADATOK!D7," ",Z_ALAPADATOK!E7," ",Z_ALAPADATOK!F7," ",Z_ALAPADATOK!G7," ",Z_ALAPADATOK!H7)</f>
        <v>7.1. tájékoztató tábla a 12 / 2020. ( VII.16. ) önkormányzati rendelethez</v>
      </c>
      <c r="B1" s="828"/>
      <c r="C1" s="828"/>
      <c r="D1" s="828"/>
      <c r="E1" s="828"/>
    </row>
    <row r="2" spans="1:5" ht="15.75">
      <c r="A2" s="958" t="s">
        <v>796</v>
      </c>
      <c r="B2" s="959"/>
      <c r="C2" s="959"/>
      <c r="D2" s="959"/>
      <c r="E2" s="959"/>
    </row>
    <row r="3" spans="1:5" ht="16.5" customHeight="1">
      <c r="A3" s="958" t="s">
        <v>797</v>
      </c>
      <c r="B3" s="959"/>
      <c r="C3" s="959"/>
      <c r="D3" s="959"/>
      <c r="E3" s="959"/>
    </row>
    <row r="4" spans="1:5" ht="16.5" customHeight="1">
      <c r="A4" s="960" t="s">
        <v>926</v>
      </c>
      <c r="B4" s="961"/>
      <c r="C4" s="961"/>
      <c r="D4" s="961"/>
      <c r="E4" s="961"/>
    </row>
    <row r="5" spans="1:5" ht="16.5" customHeight="1" thickBot="1">
      <c r="A5" s="636"/>
      <c r="B5" s="637"/>
      <c r="C5" s="962" t="str">
        <f>'Z_6.tájékoztató_t.'!E6</f>
        <v>Forintban</v>
      </c>
      <c r="D5" s="962"/>
      <c r="E5" s="962"/>
    </row>
    <row r="6" spans="1:5" ht="15.75" customHeight="1">
      <c r="A6" s="963" t="s">
        <v>625</v>
      </c>
      <c r="B6" s="966" t="s">
        <v>626</v>
      </c>
      <c r="C6" s="969" t="s">
        <v>627</v>
      </c>
      <c r="D6" s="969" t="s">
        <v>628</v>
      </c>
      <c r="E6" s="971" t="s">
        <v>629</v>
      </c>
    </row>
    <row r="7" spans="1:5" ht="11.25" customHeight="1">
      <c r="A7" s="964"/>
      <c r="B7" s="967"/>
      <c r="C7" s="970"/>
      <c r="D7" s="970"/>
      <c r="E7" s="972"/>
    </row>
    <row r="8" spans="1:5" ht="15.75">
      <c r="A8" s="965"/>
      <c r="B8" s="968"/>
      <c r="C8" s="973" t="s">
        <v>630</v>
      </c>
      <c r="D8" s="973"/>
      <c r="E8" s="974"/>
    </row>
    <row r="9" spans="1:5" s="518" customFormat="1" ht="16.5" thickBot="1">
      <c r="A9" s="638" t="s">
        <v>631</v>
      </c>
      <c r="B9" s="639" t="s">
        <v>388</v>
      </c>
      <c r="C9" s="639" t="s">
        <v>389</v>
      </c>
      <c r="D9" s="639" t="s">
        <v>391</v>
      </c>
      <c r="E9" s="640" t="s">
        <v>390</v>
      </c>
    </row>
    <row r="10" spans="1:5" s="523" customFormat="1" ht="15.75">
      <c r="A10" s="519" t="s">
        <v>632</v>
      </c>
      <c r="B10" s="520" t="s">
        <v>633</v>
      </c>
      <c r="C10" s="521">
        <f>31526024+1170370</f>
        <v>32696394</v>
      </c>
      <c r="D10" s="521">
        <v>437793</v>
      </c>
      <c r="E10" s="522">
        <v>437793</v>
      </c>
    </row>
    <row r="11" spans="1:5" s="523" customFormat="1" ht="15.75">
      <c r="A11" s="524" t="s">
        <v>634</v>
      </c>
      <c r="B11" s="525" t="s">
        <v>635</v>
      </c>
      <c r="C11" s="526">
        <f>+C12+C17+C22+C27+C32</f>
        <v>948061195</v>
      </c>
      <c r="D11" s="526">
        <f>+D12+D17+D22+D27+D32</f>
        <v>571292870</v>
      </c>
      <c r="E11" s="527">
        <f>+E12+E17+E22+E27+E32</f>
        <v>1357671000</v>
      </c>
    </row>
    <row r="12" spans="1:5" s="523" customFormat="1" ht="15.75">
      <c r="A12" s="524" t="s">
        <v>636</v>
      </c>
      <c r="B12" s="525" t="s">
        <v>637</v>
      </c>
      <c r="C12" s="526">
        <f>+C13+C14+C15+C16</f>
        <v>817916729</v>
      </c>
      <c r="D12" s="526">
        <f>+D13+D14+D15+D16</f>
        <v>565352025</v>
      </c>
      <c r="E12" s="527">
        <f>+E13+E14+E15+E16</f>
        <v>1346031000</v>
      </c>
    </row>
    <row r="13" spans="1:5" s="523" customFormat="1" ht="15.75">
      <c r="A13" s="528" t="s">
        <v>638</v>
      </c>
      <c r="B13" s="525" t="s">
        <v>639</v>
      </c>
      <c r="C13" s="529">
        <v>266049457</v>
      </c>
      <c r="D13" s="529">
        <v>150333645</v>
      </c>
      <c r="E13" s="530">
        <v>275911000</v>
      </c>
    </row>
    <row r="14" spans="1:5" s="523" customFormat="1" ht="26.25" customHeight="1">
      <c r="A14" s="528" t="s">
        <v>640</v>
      </c>
      <c r="B14" s="525" t="s">
        <v>641</v>
      </c>
      <c r="C14" s="531"/>
      <c r="D14" s="531"/>
      <c r="E14" s="532"/>
    </row>
    <row r="15" spans="1:5" s="523" customFormat="1" ht="15.75">
      <c r="A15" s="528" t="s">
        <v>642</v>
      </c>
      <c r="B15" s="525" t="s">
        <v>643</v>
      </c>
      <c r="C15" s="531">
        <v>521570940</v>
      </c>
      <c r="D15" s="531">
        <v>390511862</v>
      </c>
      <c r="E15" s="532">
        <v>1036688000</v>
      </c>
    </row>
    <row r="16" spans="1:5" s="523" customFormat="1" ht="15.75">
      <c r="A16" s="528" t="s">
        <v>644</v>
      </c>
      <c r="B16" s="525" t="s">
        <v>645</v>
      </c>
      <c r="C16" s="531">
        <v>30296332</v>
      </c>
      <c r="D16" s="531">
        <v>24506518</v>
      </c>
      <c r="E16" s="532">
        <v>33432000</v>
      </c>
    </row>
    <row r="17" spans="1:5" s="523" customFormat="1" ht="15.75">
      <c r="A17" s="524" t="s">
        <v>646</v>
      </c>
      <c r="B17" s="525" t="s">
        <v>647</v>
      </c>
      <c r="C17" s="533">
        <f>+C18+C19+C20+C21</f>
        <v>130144466</v>
      </c>
      <c r="D17" s="533">
        <f>+D18+D19+D20+D21</f>
        <v>5940845</v>
      </c>
      <c r="E17" s="534">
        <f>+E18+E19+E20+E21</f>
        <v>11640000</v>
      </c>
    </row>
    <row r="18" spans="1:5" s="523" customFormat="1" ht="15.75">
      <c r="A18" s="528" t="s">
        <v>648</v>
      </c>
      <c r="B18" s="525" t="s">
        <v>649</v>
      </c>
      <c r="C18" s="531"/>
      <c r="D18" s="531"/>
      <c r="E18" s="532"/>
    </row>
    <row r="19" spans="1:5" s="523" customFormat="1" ht="22.5">
      <c r="A19" s="528" t="s">
        <v>650</v>
      </c>
      <c r="B19" s="525" t="s">
        <v>15</v>
      </c>
      <c r="C19" s="531"/>
      <c r="D19" s="531"/>
      <c r="E19" s="532"/>
    </row>
    <row r="20" spans="1:5" s="523" customFormat="1" ht="15.75">
      <c r="A20" s="528" t="s">
        <v>651</v>
      </c>
      <c r="B20" s="525" t="s">
        <v>16</v>
      </c>
      <c r="C20" s="531">
        <v>61081608</v>
      </c>
      <c r="D20" s="531">
        <v>4880417</v>
      </c>
      <c r="E20" s="532">
        <v>9200000</v>
      </c>
    </row>
    <row r="21" spans="1:5" s="523" customFormat="1" ht="15.75">
      <c r="A21" s="528" t="s">
        <v>652</v>
      </c>
      <c r="B21" s="525" t="s">
        <v>17</v>
      </c>
      <c r="C21" s="531">
        <v>69062858</v>
      </c>
      <c r="D21" s="531">
        <v>1060428</v>
      </c>
      <c r="E21" s="532">
        <v>2440000</v>
      </c>
    </row>
    <row r="22" spans="1:5" s="523" customFormat="1" ht="15.75">
      <c r="A22" s="524" t="s">
        <v>653</v>
      </c>
      <c r="B22" s="525" t="s">
        <v>18</v>
      </c>
      <c r="C22" s="533">
        <f>+C23+C24+C25+C26</f>
        <v>0</v>
      </c>
      <c r="D22" s="533">
        <f>+D23+D24+D25+D26</f>
        <v>0</v>
      </c>
      <c r="E22" s="534">
        <f>+E23+E24+E25+E26</f>
        <v>0</v>
      </c>
    </row>
    <row r="23" spans="1:5" s="523" customFormat="1" ht="15.75">
      <c r="A23" s="528" t="s">
        <v>654</v>
      </c>
      <c r="B23" s="525" t="s">
        <v>19</v>
      </c>
      <c r="C23" s="531"/>
      <c r="D23" s="531"/>
      <c r="E23" s="532"/>
    </row>
    <row r="24" spans="1:5" s="523" customFormat="1" ht="15.75">
      <c r="A24" s="528" t="s">
        <v>655</v>
      </c>
      <c r="B24" s="525" t="s">
        <v>20</v>
      </c>
      <c r="C24" s="531"/>
      <c r="D24" s="531"/>
      <c r="E24" s="532"/>
    </row>
    <row r="25" spans="1:5" s="523" customFormat="1" ht="15.75">
      <c r="A25" s="528" t="s">
        <v>656</v>
      </c>
      <c r="B25" s="525" t="s">
        <v>21</v>
      </c>
      <c r="C25" s="531"/>
      <c r="D25" s="531"/>
      <c r="E25" s="532"/>
    </row>
    <row r="26" spans="1:5" s="523" customFormat="1" ht="15.75">
      <c r="A26" s="528" t="s">
        <v>657</v>
      </c>
      <c r="B26" s="525" t="s">
        <v>22</v>
      </c>
      <c r="C26" s="531"/>
      <c r="D26" s="531"/>
      <c r="E26" s="532"/>
    </row>
    <row r="27" spans="1:5" s="523" customFormat="1" ht="15.75">
      <c r="A27" s="524" t="s">
        <v>658</v>
      </c>
      <c r="B27" s="525" t="s">
        <v>23</v>
      </c>
      <c r="C27" s="533">
        <f>+C28+C29+C30+C31</f>
        <v>0</v>
      </c>
      <c r="D27" s="533">
        <f>+D28+D29+D30+D31</f>
        <v>0</v>
      </c>
      <c r="E27" s="534">
        <f>+E28+E29+E30+E31</f>
        <v>0</v>
      </c>
    </row>
    <row r="28" spans="1:5" s="523" customFormat="1" ht="15.75">
      <c r="A28" s="528" t="s">
        <v>659</v>
      </c>
      <c r="B28" s="525" t="s">
        <v>24</v>
      </c>
      <c r="C28" s="531"/>
      <c r="D28" s="531"/>
      <c r="E28" s="532"/>
    </row>
    <row r="29" spans="1:5" s="523" customFormat="1" ht="15.75">
      <c r="A29" s="528" t="s">
        <v>660</v>
      </c>
      <c r="B29" s="525" t="s">
        <v>25</v>
      </c>
      <c r="C29" s="531"/>
      <c r="D29" s="531"/>
      <c r="E29" s="532"/>
    </row>
    <row r="30" spans="1:5" s="523" customFormat="1" ht="15.75">
      <c r="A30" s="528" t="s">
        <v>661</v>
      </c>
      <c r="B30" s="525" t="s">
        <v>26</v>
      </c>
      <c r="C30" s="531"/>
      <c r="D30" s="531"/>
      <c r="E30" s="532"/>
    </row>
    <row r="31" spans="1:5" s="523" customFormat="1" ht="15.75">
      <c r="A31" s="528" t="s">
        <v>662</v>
      </c>
      <c r="B31" s="525" t="s">
        <v>27</v>
      </c>
      <c r="C31" s="531"/>
      <c r="D31" s="531"/>
      <c r="E31" s="532"/>
    </row>
    <row r="32" spans="1:5" s="523" customFormat="1" ht="15.75">
      <c r="A32" s="524" t="s">
        <v>663</v>
      </c>
      <c r="B32" s="525" t="s">
        <v>28</v>
      </c>
      <c r="C32" s="533">
        <f>+C33+C34+C35+C36</f>
        <v>0</v>
      </c>
      <c r="D32" s="533">
        <f>+D33+D34+D35+D36</f>
        <v>0</v>
      </c>
      <c r="E32" s="534">
        <f>+E33+E34+E35+E36</f>
        <v>0</v>
      </c>
    </row>
    <row r="33" spans="1:5" s="523" customFormat="1" ht="15.75">
      <c r="A33" s="528" t="s">
        <v>664</v>
      </c>
      <c r="B33" s="525" t="s">
        <v>29</v>
      </c>
      <c r="C33" s="531"/>
      <c r="D33" s="531"/>
      <c r="E33" s="532"/>
    </row>
    <row r="34" spans="1:5" s="523" customFormat="1" ht="22.5">
      <c r="A34" s="528" t="s">
        <v>665</v>
      </c>
      <c r="B34" s="525" t="s">
        <v>30</v>
      </c>
      <c r="C34" s="531"/>
      <c r="D34" s="531"/>
      <c r="E34" s="532"/>
    </row>
    <row r="35" spans="1:5" s="523" customFormat="1" ht="15.75">
      <c r="A35" s="528"/>
      <c r="B35" s="525" t="s">
        <v>31</v>
      </c>
      <c r="C35" s="531"/>
      <c r="D35" s="531"/>
      <c r="E35" s="532"/>
    </row>
    <row r="36" spans="1:5" s="523" customFormat="1" ht="15.75">
      <c r="A36" s="528" t="s">
        <v>666</v>
      </c>
      <c r="B36" s="525" t="s">
        <v>32</v>
      </c>
      <c r="C36" s="531"/>
      <c r="D36" s="531"/>
      <c r="E36" s="532"/>
    </row>
    <row r="37" spans="1:5" s="523" customFormat="1" ht="15.75">
      <c r="A37" s="524" t="s">
        <v>667</v>
      </c>
      <c r="B37" s="525" t="s">
        <v>33</v>
      </c>
      <c r="C37" s="533">
        <v>10000</v>
      </c>
      <c r="D37" s="533">
        <v>10000</v>
      </c>
      <c r="E37" s="534">
        <v>10000</v>
      </c>
    </row>
    <row r="38" spans="1:5" s="523" customFormat="1" ht="15.75">
      <c r="A38" s="524" t="s">
        <v>668</v>
      </c>
      <c r="B38" s="525" t="s">
        <v>620</v>
      </c>
      <c r="C38" s="533">
        <v>10000</v>
      </c>
      <c r="D38" s="533">
        <v>10000</v>
      </c>
      <c r="E38" s="534">
        <v>10000</v>
      </c>
    </row>
    <row r="39" spans="1:5" s="523" customFormat="1" ht="15.75">
      <c r="A39" s="528" t="s">
        <v>669</v>
      </c>
      <c r="B39" s="525" t="s">
        <v>621</v>
      </c>
      <c r="C39" s="531"/>
      <c r="D39" s="531"/>
      <c r="E39" s="532"/>
    </row>
    <row r="40" spans="1:5" s="523" customFormat="1" ht="15.75">
      <c r="A40" s="528" t="s">
        <v>670</v>
      </c>
      <c r="B40" s="525" t="s">
        <v>622</v>
      </c>
      <c r="C40" s="531"/>
      <c r="D40" s="531"/>
      <c r="E40" s="532"/>
    </row>
    <row r="41" spans="1:5" s="523" customFormat="1" ht="15.75">
      <c r="A41" s="528" t="s">
        <v>671</v>
      </c>
      <c r="B41" s="525" t="s">
        <v>623</v>
      </c>
      <c r="C41" s="531"/>
      <c r="D41" s="531"/>
      <c r="E41" s="532"/>
    </row>
    <row r="42" spans="1:5" s="523" customFormat="1" ht="15.75">
      <c r="A42" s="528" t="s">
        <v>672</v>
      </c>
      <c r="B42" s="525" t="s">
        <v>624</v>
      </c>
      <c r="C42" s="531">
        <v>10000</v>
      </c>
      <c r="D42" s="531">
        <v>10000</v>
      </c>
      <c r="E42" s="532">
        <v>10000</v>
      </c>
    </row>
    <row r="43" spans="1:5" s="523" customFormat="1" ht="15.75">
      <c r="A43" s="524" t="s">
        <v>673</v>
      </c>
      <c r="B43" s="525" t="s">
        <v>674</v>
      </c>
      <c r="C43" s="533">
        <f>+C44+C45+C46+C47</f>
        <v>0</v>
      </c>
      <c r="D43" s="533">
        <f>+D44+D45+D46+D47</f>
        <v>0</v>
      </c>
      <c r="E43" s="534">
        <f>+E44+E45+E46+E47</f>
        <v>0</v>
      </c>
    </row>
    <row r="44" spans="1:5" s="523" customFormat="1" ht="15.75">
      <c r="A44" s="528" t="s">
        <v>675</v>
      </c>
      <c r="B44" s="525" t="s">
        <v>676</v>
      </c>
      <c r="C44" s="531"/>
      <c r="D44" s="531"/>
      <c r="E44" s="532"/>
    </row>
    <row r="45" spans="1:5" s="523" customFormat="1" ht="22.5">
      <c r="A45" s="528" t="s">
        <v>677</v>
      </c>
      <c r="B45" s="525" t="s">
        <v>678</v>
      </c>
      <c r="C45" s="531"/>
      <c r="D45" s="531"/>
      <c r="E45" s="532"/>
    </row>
    <row r="46" spans="1:5" s="523" customFormat="1" ht="15.75">
      <c r="A46" s="528" t="s">
        <v>679</v>
      </c>
      <c r="B46" s="525" t="s">
        <v>680</v>
      </c>
      <c r="C46" s="531"/>
      <c r="D46" s="531"/>
      <c r="E46" s="532"/>
    </row>
    <row r="47" spans="1:5" s="523" customFormat="1" ht="15.75">
      <c r="A47" s="528" t="s">
        <v>681</v>
      </c>
      <c r="B47" s="525" t="s">
        <v>682</v>
      </c>
      <c r="C47" s="531"/>
      <c r="D47" s="531"/>
      <c r="E47" s="532"/>
    </row>
    <row r="48" spans="1:5" s="523" customFormat="1" ht="15.75">
      <c r="A48" s="524" t="s">
        <v>683</v>
      </c>
      <c r="B48" s="525" t="s">
        <v>684</v>
      </c>
      <c r="C48" s="533">
        <f>+C49+C50+C51+C52</f>
        <v>0</v>
      </c>
      <c r="D48" s="533">
        <f>+D49+D50+D51+D52</f>
        <v>0</v>
      </c>
      <c r="E48" s="534">
        <f>+E49+E50+E51+E52</f>
        <v>0</v>
      </c>
    </row>
    <row r="49" spans="1:5" s="523" customFormat="1" ht="15.75">
      <c r="A49" s="528" t="s">
        <v>685</v>
      </c>
      <c r="B49" s="525" t="s">
        <v>686</v>
      </c>
      <c r="C49" s="531"/>
      <c r="D49" s="531"/>
      <c r="E49" s="532"/>
    </row>
    <row r="50" spans="1:5" s="523" customFormat="1" ht="22.5">
      <c r="A50" s="528" t="s">
        <v>687</v>
      </c>
      <c r="B50" s="525" t="s">
        <v>688</v>
      </c>
      <c r="C50" s="531"/>
      <c r="D50" s="531"/>
      <c r="E50" s="532"/>
    </row>
    <row r="51" spans="1:5" s="523" customFormat="1" ht="15.75">
      <c r="A51" s="528" t="s">
        <v>689</v>
      </c>
      <c r="B51" s="525" t="s">
        <v>690</v>
      </c>
      <c r="C51" s="531"/>
      <c r="D51" s="531"/>
      <c r="E51" s="532"/>
    </row>
    <row r="52" spans="1:5" s="523" customFormat="1" ht="15.75">
      <c r="A52" s="528" t="s">
        <v>691</v>
      </c>
      <c r="B52" s="525" t="s">
        <v>692</v>
      </c>
      <c r="C52" s="531"/>
      <c r="D52" s="531"/>
      <c r="E52" s="532"/>
    </row>
    <row r="53" spans="1:5" s="523" customFormat="1" ht="15.75">
      <c r="A53" s="524" t="s">
        <v>693</v>
      </c>
      <c r="B53" s="525" t="s">
        <v>694</v>
      </c>
      <c r="C53" s="531"/>
      <c r="D53" s="531"/>
      <c r="E53" s="532"/>
    </row>
    <row r="54" spans="1:5" s="523" customFormat="1" ht="21">
      <c r="A54" s="524" t="s">
        <v>695</v>
      </c>
      <c r="B54" s="525" t="s">
        <v>696</v>
      </c>
      <c r="C54" s="533">
        <f>+C10+C11+C37+C53</f>
        <v>980767589</v>
      </c>
      <c r="D54" s="533">
        <f>+D10+D11+D37+D53</f>
        <v>571740663</v>
      </c>
      <c r="E54" s="534">
        <f>+E10+E11+E37+E53</f>
        <v>1358118793</v>
      </c>
    </row>
    <row r="55" spans="1:5" s="523" customFormat="1" ht="15.75">
      <c r="A55" s="524" t="s">
        <v>697</v>
      </c>
      <c r="B55" s="525" t="s">
        <v>698</v>
      </c>
      <c r="C55" s="531"/>
      <c r="D55" s="531"/>
      <c r="E55" s="532"/>
    </row>
    <row r="56" spans="1:5" s="523" customFormat="1" ht="15.75">
      <c r="A56" s="524" t="s">
        <v>699</v>
      </c>
      <c r="B56" s="525" t="s">
        <v>700</v>
      </c>
      <c r="C56" s="531">
        <v>3052998</v>
      </c>
      <c r="D56" s="531">
        <v>3052998</v>
      </c>
      <c r="E56" s="532">
        <v>3052998</v>
      </c>
    </row>
    <row r="57" spans="1:5" s="523" customFormat="1" ht="15.75">
      <c r="A57" s="524" t="s">
        <v>701</v>
      </c>
      <c r="B57" s="525" t="s">
        <v>702</v>
      </c>
      <c r="C57" s="533">
        <f>+C55+C56</f>
        <v>3052998</v>
      </c>
      <c r="D57" s="533">
        <f>+D55+D56</f>
        <v>3052998</v>
      </c>
      <c r="E57" s="534">
        <f>+E55+E56</f>
        <v>3052998</v>
      </c>
    </row>
    <row r="58" spans="1:5" s="523" customFormat="1" ht="15.75">
      <c r="A58" s="524" t="s">
        <v>703</v>
      </c>
      <c r="B58" s="525" t="s">
        <v>704</v>
      </c>
      <c r="C58" s="531"/>
      <c r="D58" s="531"/>
      <c r="E58" s="532"/>
    </row>
    <row r="59" spans="1:5" s="523" customFormat="1" ht="15.75">
      <c r="A59" s="524" t="s">
        <v>705</v>
      </c>
      <c r="B59" s="525" t="s">
        <v>706</v>
      </c>
      <c r="C59" s="531">
        <v>332280</v>
      </c>
      <c r="D59" s="531">
        <v>332280</v>
      </c>
      <c r="E59" s="532">
        <v>332280</v>
      </c>
    </row>
    <row r="60" spans="1:5" s="523" customFormat="1" ht="15.75">
      <c r="A60" s="524" t="s">
        <v>707</v>
      </c>
      <c r="B60" s="525" t="s">
        <v>708</v>
      </c>
      <c r="C60" s="531">
        <v>358818165</v>
      </c>
      <c r="D60" s="531">
        <v>358818165</v>
      </c>
      <c r="E60" s="532">
        <v>358818165</v>
      </c>
    </row>
    <row r="61" spans="1:5" s="523" customFormat="1" ht="15.75">
      <c r="A61" s="524" t="s">
        <v>709</v>
      </c>
      <c r="B61" s="525" t="s">
        <v>710</v>
      </c>
      <c r="C61" s="531"/>
      <c r="D61" s="531"/>
      <c r="E61" s="532"/>
    </row>
    <row r="62" spans="1:5" s="523" customFormat="1" ht="15.75">
      <c r="A62" s="524" t="s">
        <v>711</v>
      </c>
      <c r="B62" s="525" t="s">
        <v>712</v>
      </c>
      <c r="C62" s="533">
        <f>+C58+C59+C60+C61</f>
        <v>359150445</v>
      </c>
      <c r="D62" s="533">
        <f>+D58+D59+D60+D61</f>
        <v>359150445</v>
      </c>
      <c r="E62" s="534">
        <f>+E58+E59+E60+E61</f>
        <v>359150445</v>
      </c>
    </row>
    <row r="63" spans="1:5" s="523" customFormat="1" ht="15.75">
      <c r="A63" s="524" t="s">
        <v>713</v>
      </c>
      <c r="B63" s="525" t="s">
        <v>714</v>
      </c>
      <c r="C63" s="531">
        <v>7183704</v>
      </c>
      <c r="D63" s="531">
        <v>7183704</v>
      </c>
      <c r="E63" s="532">
        <v>7183704</v>
      </c>
    </row>
    <row r="64" spans="1:5" s="523" customFormat="1" ht="15.75">
      <c r="A64" s="524" t="s">
        <v>715</v>
      </c>
      <c r="B64" s="525" t="s">
        <v>716</v>
      </c>
      <c r="C64" s="531"/>
      <c r="D64" s="531"/>
      <c r="E64" s="532"/>
    </row>
    <row r="65" spans="1:5" s="523" customFormat="1" ht="15.75">
      <c r="A65" s="524" t="s">
        <v>717</v>
      </c>
      <c r="B65" s="525" t="s">
        <v>718</v>
      </c>
      <c r="C65" s="531">
        <v>158419</v>
      </c>
      <c r="D65" s="531">
        <v>158419</v>
      </c>
      <c r="E65" s="532">
        <v>158419</v>
      </c>
    </row>
    <row r="66" spans="1:5" s="523" customFormat="1" ht="15.75">
      <c r="A66" s="524" t="s">
        <v>719</v>
      </c>
      <c r="B66" s="525" t="s">
        <v>720</v>
      </c>
      <c r="C66" s="533">
        <f>+C63+C64+C65</f>
        <v>7342123</v>
      </c>
      <c r="D66" s="533">
        <f>+D63+D64+D65</f>
        <v>7342123</v>
      </c>
      <c r="E66" s="534">
        <f>+E63+E64+E65</f>
        <v>7342123</v>
      </c>
    </row>
    <row r="67" spans="1:5" s="523" customFormat="1" ht="15.75">
      <c r="A67" s="524" t="s">
        <v>721</v>
      </c>
      <c r="B67" s="525" t="s">
        <v>722</v>
      </c>
      <c r="C67" s="531"/>
      <c r="D67" s="531"/>
      <c r="E67" s="532"/>
    </row>
    <row r="68" spans="1:5" s="523" customFormat="1" ht="21">
      <c r="A68" s="524" t="s">
        <v>723</v>
      </c>
      <c r="B68" s="525" t="s">
        <v>724</v>
      </c>
      <c r="C68" s="531">
        <v>1963000</v>
      </c>
      <c r="D68" s="531">
        <v>1963000</v>
      </c>
      <c r="E68" s="532">
        <v>1963000</v>
      </c>
    </row>
    <row r="69" spans="1:5" s="523" customFormat="1" ht="15.75">
      <c r="A69" s="524" t="s">
        <v>794</v>
      </c>
      <c r="B69" s="525" t="s">
        <v>725</v>
      </c>
      <c r="C69" s="533">
        <v>1963000</v>
      </c>
      <c r="D69" s="533">
        <f>+D67+D68</f>
        <v>1963000</v>
      </c>
      <c r="E69" s="534">
        <v>1963000</v>
      </c>
    </row>
    <row r="70" spans="1:5" s="523" customFormat="1" ht="15.75">
      <c r="A70" s="524" t="s">
        <v>726</v>
      </c>
      <c r="B70" s="525" t="s">
        <v>727</v>
      </c>
      <c r="C70" s="531"/>
      <c r="D70" s="531"/>
      <c r="E70" s="532"/>
    </row>
    <row r="71" spans="1:5" s="523" customFormat="1" ht="16.5" thickBot="1">
      <c r="A71" s="535" t="s">
        <v>728</v>
      </c>
      <c r="B71" s="536" t="s">
        <v>729</v>
      </c>
      <c r="C71" s="537">
        <f>+C54+C57+C62+C66+C69+C70</f>
        <v>1352276155</v>
      </c>
      <c r="D71" s="537">
        <f>+D54+D57+D62+D66+D69+D70</f>
        <v>943249229</v>
      </c>
      <c r="E71" s="538">
        <f>+E54+E57+E62+E66+E69+E70</f>
        <v>1729627359</v>
      </c>
    </row>
    <row r="72" spans="1:5" ht="15.75">
      <c r="A72" s="539"/>
      <c r="C72" s="540"/>
      <c r="D72" s="540"/>
      <c r="E72" s="541"/>
    </row>
    <row r="73" spans="1:5" ht="15.75">
      <c r="A73" s="539"/>
      <c r="C73" s="540"/>
      <c r="D73" s="540"/>
      <c r="E73" s="541"/>
    </row>
    <row r="74" spans="1:5" ht="15.75">
      <c r="A74" s="542"/>
      <c r="C74" s="540"/>
      <c r="D74" s="540"/>
      <c r="E74" s="541"/>
    </row>
    <row r="75" spans="1:5" ht="15.75">
      <c r="A75" s="956"/>
      <c r="B75" s="956"/>
      <c r="C75" s="956"/>
      <c r="D75" s="956"/>
      <c r="E75" s="956"/>
    </row>
    <row r="76" spans="1:5" ht="15.75">
      <c r="A76" s="956"/>
      <c r="B76" s="956"/>
      <c r="C76" s="956"/>
      <c r="D76" s="956"/>
      <c r="E76" s="956"/>
    </row>
  </sheetData>
  <sheetProtection selectLockedCells="1" selectUnlockedCells="1"/>
  <mergeCells count="13">
    <mergeCell ref="D6:D7"/>
    <mergeCell ref="E6:E7"/>
    <mergeCell ref="C8:E8"/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="120" zoomScaleNormal="120" workbookViewId="0" topLeftCell="A4">
      <selection activeCell="A6" sqref="A6"/>
    </sheetView>
  </sheetViews>
  <sheetFormatPr defaultColWidth="9.00390625" defaultRowHeight="12.75"/>
  <cols>
    <col min="1" max="1" width="71.125" style="545" customWidth="1"/>
    <col min="2" max="2" width="6.125" style="557" customWidth="1"/>
    <col min="3" max="3" width="18.00390625" style="544" customWidth="1"/>
    <col min="4" max="16384" width="9.375" style="544" customWidth="1"/>
  </cols>
  <sheetData>
    <row r="1" spans="1:3" ht="16.5" customHeight="1">
      <c r="A1" s="976" t="str">
        <f>CONCATENATE("7.2. tájékoztató tábla ",Z_ALAPADATOK!A7," ",Z_ALAPADATOK!B7," ",Z_ALAPADATOK!C7," ",Z_ALAPADATOK!D7," ",Z_ALAPADATOK!E7," ",Z_ALAPADATOK!F7," ",Z_ALAPADATOK!G7," ",Z_ALAPADATOK!H7)</f>
        <v>7.2. tájékoztató tábla a 12 / 2020. ( VII.16. ) önkormányzati rendelethez</v>
      </c>
      <c r="B1" s="977"/>
      <c r="C1" s="977"/>
    </row>
    <row r="2" spans="1:3" ht="16.5" customHeight="1">
      <c r="A2" s="641"/>
      <c r="B2" s="642"/>
      <c r="C2" s="643"/>
    </row>
    <row r="3" spans="1:3" ht="16.5" customHeight="1">
      <c r="A3" s="980" t="s">
        <v>796</v>
      </c>
      <c r="B3" s="980"/>
      <c r="C3" s="980"/>
    </row>
    <row r="4" spans="1:3" ht="16.5" customHeight="1">
      <c r="A4" s="978" t="s">
        <v>840</v>
      </c>
      <c r="B4" s="978"/>
      <c r="C4" s="978"/>
    </row>
    <row r="5" spans="1:3" ht="16.5" customHeight="1">
      <c r="A5" s="978" t="s">
        <v>926</v>
      </c>
      <c r="B5" s="979"/>
      <c r="C5" s="979"/>
    </row>
    <row r="6" spans="1:3" ht="13.5" thickBot="1">
      <c r="A6" s="641"/>
      <c r="B6" s="981" t="str">
        <f>'Z_6.tájékoztató_t.'!E6</f>
        <v>Forintban</v>
      </c>
      <c r="C6" s="981"/>
    </row>
    <row r="7" spans="1:3" s="546" customFormat="1" ht="31.5" customHeight="1">
      <c r="A7" s="982" t="s">
        <v>730</v>
      </c>
      <c r="B7" s="984" t="s">
        <v>626</v>
      </c>
      <c r="C7" s="986" t="s">
        <v>731</v>
      </c>
    </row>
    <row r="8" spans="1:3" s="546" customFormat="1" ht="12.75">
      <c r="A8" s="983"/>
      <c r="B8" s="985"/>
      <c r="C8" s="987"/>
    </row>
    <row r="9" spans="1:3" s="547" customFormat="1" ht="13.5" thickBot="1">
      <c r="A9" s="644" t="s">
        <v>387</v>
      </c>
      <c r="B9" s="645" t="s">
        <v>388</v>
      </c>
      <c r="C9" s="646" t="s">
        <v>389</v>
      </c>
    </row>
    <row r="10" spans="1:3" ht="15.75" customHeight="1">
      <c r="A10" s="524" t="s">
        <v>732</v>
      </c>
      <c r="B10" s="548" t="s">
        <v>633</v>
      </c>
      <c r="C10" s="549">
        <v>697055552</v>
      </c>
    </row>
    <row r="11" spans="1:3" ht="15.75" customHeight="1">
      <c r="A11" s="524" t="s">
        <v>733</v>
      </c>
      <c r="B11" s="525" t="s">
        <v>635</v>
      </c>
      <c r="C11" s="549"/>
    </row>
    <row r="12" spans="1:3" ht="15.75" customHeight="1">
      <c r="A12" s="524" t="s">
        <v>734</v>
      </c>
      <c r="B12" s="525" t="s">
        <v>637</v>
      </c>
      <c r="C12" s="549"/>
    </row>
    <row r="13" spans="1:3" ht="15.75" customHeight="1">
      <c r="A13" s="524" t="s">
        <v>735</v>
      </c>
      <c r="B13" s="525" t="s">
        <v>639</v>
      </c>
      <c r="C13" s="550">
        <v>252293418</v>
      </c>
    </row>
    <row r="14" spans="1:3" ht="15.75" customHeight="1">
      <c r="A14" s="524" t="s">
        <v>736</v>
      </c>
      <c r="B14" s="525" t="s">
        <v>641</v>
      </c>
      <c r="C14" s="550">
        <v>0</v>
      </c>
    </row>
    <row r="15" spans="1:3" ht="15.75" customHeight="1">
      <c r="A15" s="524" t="s">
        <v>737</v>
      </c>
      <c r="B15" s="525" t="s">
        <v>643</v>
      </c>
      <c r="C15" s="550">
        <v>-20329569</v>
      </c>
    </row>
    <row r="16" spans="1:3" ht="15.75" customHeight="1">
      <c r="A16" s="524" t="s">
        <v>738</v>
      </c>
      <c r="B16" s="525" t="s">
        <v>645</v>
      </c>
      <c r="C16" s="551">
        <f>+C10+C11+C12+C13+C14+C15</f>
        <v>929019401</v>
      </c>
    </row>
    <row r="17" spans="1:3" ht="15.75" customHeight="1">
      <c r="A17" s="524" t="s">
        <v>739</v>
      </c>
      <c r="B17" s="525" t="s">
        <v>647</v>
      </c>
      <c r="C17" s="552">
        <v>4557</v>
      </c>
    </row>
    <row r="18" spans="1:3" ht="15.75" customHeight="1">
      <c r="A18" s="524" t="s">
        <v>740</v>
      </c>
      <c r="B18" s="525" t="s">
        <v>649</v>
      </c>
      <c r="C18" s="550">
        <v>7151762</v>
      </c>
    </row>
    <row r="19" spans="1:3" ht="15.75" customHeight="1">
      <c r="A19" s="524" t="s">
        <v>741</v>
      </c>
      <c r="B19" s="525" t="s">
        <v>15</v>
      </c>
      <c r="C19" s="550">
        <v>347008</v>
      </c>
    </row>
    <row r="20" spans="1:3" ht="15.75" customHeight="1">
      <c r="A20" s="524" t="s">
        <v>742</v>
      </c>
      <c r="B20" s="525" t="s">
        <v>16</v>
      </c>
      <c r="C20" s="551">
        <f>+C17+C18+C19</f>
        <v>7503327</v>
      </c>
    </row>
    <row r="21" spans="1:3" s="553" customFormat="1" ht="15.75" customHeight="1">
      <c r="A21" s="524" t="s">
        <v>743</v>
      </c>
      <c r="B21" s="525" t="s">
        <v>17</v>
      </c>
      <c r="C21" s="550"/>
    </row>
    <row r="22" spans="1:3" ht="15.75" customHeight="1">
      <c r="A22" s="524" t="s">
        <v>744</v>
      </c>
      <c r="B22" s="525" t="s">
        <v>18</v>
      </c>
      <c r="C22" s="550">
        <v>6726501</v>
      </c>
    </row>
    <row r="23" spans="1:3" ht="15.75" customHeight="1" thickBot="1">
      <c r="A23" s="554" t="s">
        <v>745</v>
      </c>
      <c r="B23" s="536" t="s">
        <v>19</v>
      </c>
      <c r="C23" s="555">
        <f>+C16+C20+C21+C22</f>
        <v>943249229</v>
      </c>
    </row>
    <row r="24" spans="1:5" ht="15.75">
      <c r="A24" s="539"/>
      <c r="B24" s="542"/>
      <c r="C24" s="540"/>
      <c r="D24" s="540"/>
      <c r="E24" s="540"/>
    </row>
    <row r="25" spans="1:5" ht="15.75">
      <c r="A25" s="539"/>
      <c r="B25" s="542"/>
      <c r="C25" s="540"/>
      <c r="D25" s="540"/>
      <c r="E25" s="540"/>
    </row>
    <row r="26" spans="1:5" ht="15.75">
      <c r="A26" s="542"/>
      <c r="B26" s="542"/>
      <c r="C26" s="540"/>
      <c r="D26" s="540"/>
      <c r="E26" s="540"/>
    </row>
    <row r="27" spans="1:5" ht="15.75">
      <c r="A27" s="975"/>
      <c r="B27" s="975"/>
      <c r="C27" s="975"/>
      <c r="D27" s="556"/>
      <c r="E27" s="556"/>
    </row>
    <row r="28" spans="1:5" ht="15.75">
      <c r="A28" s="975"/>
      <c r="B28" s="975"/>
      <c r="C28" s="975"/>
      <c r="D28" s="556"/>
      <c r="E28" s="556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69" t="s">
        <v>521</v>
      </c>
      <c r="B1" s="77"/>
    </row>
    <row r="2" spans="1:2" ht="12.75">
      <c r="A2" s="77"/>
      <c r="B2" s="77"/>
    </row>
    <row r="3" spans="1:2" ht="12.75">
      <c r="A3" s="271"/>
      <c r="B3" s="271"/>
    </row>
    <row r="4" spans="1:2" ht="15.75">
      <c r="A4" s="79"/>
      <c r="B4" s="275"/>
    </row>
    <row r="5" spans="1:2" ht="15.75">
      <c r="A5" s="79"/>
      <c r="B5" s="275"/>
    </row>
    <row r="6" spans="1:2" s="64" customFormat="1" ht="15.75">
      <c r="A6" s="79" t="s">
        <v>913</v>
      </c>
      <c r="B6" s="271"/>
    </row>
    <row r="7" spans="1:2" s="64" customFormat="1" ht="12.75">
      <c r="A7" s="271"/>
      <c r="B7" s="271"/>
    </row>
    <row r="8" spans="1:2" s="64" customFormat="1" ht="12.75">
      <c r="A8" s="271"/>
      <c r="B8" s="271"/>
    </row>
    <row r="9" spans="1:2" ht="12.75">
      <c r="A9" s="271" t="s">
        <v>461</v>
      </c>
      <c r="B9" s="271" t="s">
        <v>423</v>
      </c>
    </row>
    <row r="10" spans="1:2" ht="12.75">
      <c r="A10" s="271" t="s">
        <v>459</v>
      </c>
      <c r="B10" s="271" t="s">
        <v>429</v>
      </c>
    </row>
    <row r="11" spans="1:2" ht="12.75">
      <c r="A11" s="271" t="s">
        <v>460</v>
      </c>
      <c r="B11" s="271" t="s">
        <v>430</v>
      </c>
    </row>
    <row r="12" spans="1:2" ht="12.75">
      <c r="A12" s="271"/>
      <c r="B12" s="271"/>
    </row>
    <row r="13" spans="1:2" ht="15.75">
      <c r="A13" s="79" t="str">
        <f>+CONCATENATE(LEFT(A6,4),". évi módosított előirányzat BEVÉTELEK")</f>
        <v>2019. évi módosított előirányzat BEVÉTELEK</v>
      </c>
      <c r="B13" s="275"/>
    </row>
    <row r="14" spans="1:2" ht="12.75">
      <c r="A14" s="271"/>
      <c r="B14" s="271"/>
    </row>
    <row r="15" spans="1:2" s="64" customFormat="1" ht="12.75">
      <c r="A15" s="271" t="s">
        <v>462</v>
      </c>
      <c r="B15" s="271" t="s">
        <v>424</v>
      </c>
    </row>
    <row r="16" spans="1:2" ht="12.75">
      <c r="A16" s="271" t="s">
        <v>463</v>
      </c>
      <c r="B16" s="271" t="s">
        <v>431</v>
      </c>
    </row>
    <row r="17" spans="1:2" ht="12.75">
      <c r="A17" s="271" t="s">
        <v>464</v>
      </c>
      <c r="B17" s="271" t="s">
        <v>432</v>
      </c>
    </row>
    <row r="18" spans="1:2" ht="12.75">
      <c r="A18" s="271"/>
      <c r="B18" s="271"/>
    </row>
    <row r="19" spans="1:2" ht="14.25">
      <c r="A19" s="278" t="str">
        <f>+CONCATENATE(LEFT(A6,4),".évi teljesített BEVÉTELEK")</f>
        <v>2019.évi teljesített BEVÉTELEK</v>
      </c>
      <c r="B19" s="275"/>
    </row>
    <row r="20" spans="1:2" ht="12.75">
      <c r="A20" s="271"/>
      <c r="B20" s="271"/>
    </row>
    <row r="21" spans="1:2" ht="12.75">
      <c r="A21" s="271" t="s">
        <v>465</v>
      </c>
      <c r="B21" s="271" t="s">
        <v>425</v>
      </c>
    </row>
    <row r="22" spans="1:2" ht="12.75">
      <c r="A22" s="271" t="s">
        <v>466</v>
      </c>
      <c r="B22" s="271" t="s">
        <v>433</v>
      </c>
    </row>
    <row r="23" spans="1:2" ht="12.75">
      <c r="A23" s="271" t="s">
        <v>467</v>
      </c>
      <c r="B23" s="271" t="s">
        <v>434</v>
      </c>
    </row>
    <row r="24" spans="1:2" ht="12.75">
      <c r="A24" s="271"/>
      <c r="B24" s="271"/>
    </row>
    <row r="25" spans="1:2" ht="15.75">
      <c r="A25" s="79" t="str">
        <f>+CONCATENATE(LEFT(A6,4),". évi eredeti előirányzat KIADÁSOK")</f>
        <v>2019. évi eredeti előirányzat KIADÁSOK</v>
      </c>
      <c r="B25" s="275"/>
    </row>
    <row r="26" spans="1:2" ht="12.75">
      <c r="A26" s="271"/>
      <c r="B26" s="271"/>
    </row>
    <row r="27" spans="1:2" ht="12.75">
      <c r="A27" s="271" t="s">
        <v>468</v>
      </c>
      <c r="B27" s="271" t="s">
        <v>426</v>
      </c>
    </row>
    <row r="28" spans="1:2" ht="12.75">
      <c r="A28" s="271" t="s">
        <v>469</v>
      </c>
      <c r="B28" s="271" t="s">
        <v>435</v>
      </c>
    </row>
    <row r="29" spans="1:2" ht="12.75">
      <c r="A29" s="271" t="s">
        <v>470</v>
      </c>
      <c r="B29" s="271" t="s">
        <v>436</v>
      </c>
    </row>
    <row r="30" spans="1:2" ht="12.75">
      <c r="A30" s="271"/>
      <c r="B30" s="271"/>
    </row>
    <row r="31" spans="1:2" ht="15.75">
      <c r="A31" s="79" t="str">
        <f>+CONCATENATE(LEFT(A6,4),". évi módosított előirányzat KIADÁSOK")</f>
        <v>2019. évi módosított előirányzat KIADÁSOK</v>
      </c>
      <c r="B31" s="275"/>
    </row>
    <row r="32" spans="1:2" ht="12.75">
      <c r="A32" s="271"/>
      <c r="B32" s="271"/>
    </row>
    <row r="33" spans="1:2" ht="12.75">
      <c r="A33" s="271" t="s">
        <v>471</v>
      </c>
      <c r="B33" s="271" t="s">
        <v>427</v>
      </c>
    </row>
    <row r="34" spans="1:2" ht="12.75">
      <c r="A34" s="271" t="s">
        <v>472</v>
      </c>
      <c r="B34" s="271" t="s">
        <v>437</v>
      </c>
    </row>
    <row r="35" spans="1:2" ht="12.75">
      <c r="A35" s="271" t="s">
        <v>473</v>
      </c>
      <c r="B35" s="271" t="s">
        <v>438</v>
      </c>
    </row>
    <row r="36" spans="1:2" ht="12.75">
      <c r="A36" s="271"/>
      <c r="B36" s="271"/>
    </row>
    <row r="37" spans="1:2" ht="15.75">
      <c r="A37" s="277" t="str">
        <f>+CONCATENATE(LEFT(A6,4),".évi teljesített KIADÁSOK")</f>
        <v>2019.évi teljesített KIADÁSOK</v>
      </c>
      <c r="B37" s="275"/>
    </row>
    <row r="38" spans="1:2" ht="12.75">
      <c r="A38" s="271"/>
      <c r="B38" s="271"/>
    </row>
    <row r="39" spans="1:2" ht="12.75">
      <c r="A39" s="271" t="s">
        <v>474</v>
      </c>
      <c r="B39" s="271" t="s">
        <v>428</v>
      </c>
    </row>
    <row r="40" spans="1:2" ht="12.75">
      <c r="A40" s="271" t="s">
        <v>475</v>
      </c>
      <c r="B40" s="271" t="s">
        <v>439</v>
      </c>
    </row>
    <row r="41" spans="1:2" ht="12.75">
      <c r="A41" s="271" t="s">
        <v>476</v>
      </c>
      <c r="B41" s="271" t="s">
        <v>440</v>
      </c>
    </row>
  </sheetData>
  <sheetProtection selectLockedCells="1" selectUnlockedCells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6"/>
  <sheetViews>
    <sheetView zoomScale="120" zoomScaleNormal="120" workbookViewId="0" topLeftCell="A25">
      <selection activeCell="A11" sqref="A11"/>
    </sheetView>
  </sheetViews>
  <sheetFormatPr defaultColWidth="12.00390625" defaultRowHeight="12.75"/>
  <cols>
    <col min="1" max="1" width="58.875" style="558" customWidth="1"/>
    <col min="2" max="2" width="6.875" style="558" customWidth="1"/>
    <col min="3" max="3" width="17.125" style="558" customWidth="1"/>
    <col min="4" max="4" width="19.125" style="558" customWidth="1"/>
    <col min="5" max="16384" width="12.00390625" style="558" customWidth="1"/>
  </cols>
  <sheetData>
    <row r="1" spans="1:4" ht="16.5" customHeight="1">
      <c r="A1" s="993" t="str">
        <f>CONCATENATE("7.3. tájékoztató tábla ",Z_ALAPADATOK!A7," ",Z_ALAPADATOK!B7," ",Z_ALAPADATOK!C7," ",Z_ALAPADATOK!D7," ",Z_ALAPADATOK!E7," ",Z_ALAPADATOK!F7," ",Z_ALAPADATOK!G7," ",Z_ALAPADATOK!H7)</f>
        <v>7.3. tájékoztató tábla a 12 / 2020. ( VII.16. ) önkormányzati rendelethez</v>
      </c>
      <c r="B1" s="993"/>
      <c r="C1" s="993"/>
      <c r="D1" s="993"/>
    </row>
    <row r="2" s="647" customFormat="1" ht="16.5" customHeight="1"/>
    <row r="3" spans="1:4" s="587" customFormat="1" ht="16.5" customHeight="1">
      <c r="A3" s="994" t="s">
        <v>796</v>
      </c>
      <c r="B3" s="994"/>
      <c r="C3" s="994"/>
      <c r="D3" s="994"/>
    </row>
    <row r="4" spans="1:4" s="587" customFormat="1" ht="16.5" customHeight="1">
      <c r="A4" s="994" t="s">
        <v>800</v>
      </c>
      <c r="B4" s="994"/>
      <c r="C4" s="994"/>
      <c r="D4" s="994"/>
    </row>
    <row r="5" spans="1:4" s="587" customFormat="1" ht="16.5" customHeight="1">
      <c r="A5" s="988" t="s">
        <v>926</v>
      </c>
      <c r="B5" s="989"/>
      <c r="C5" s="989"/>
      <c r="D5" s="989"/>
    </row>
    <row r="6" ht="16.5" customHeight="1" thickBot="1"/>
    <row r="7" spans="1:4" ht="43.5" customHeight="1" thickBot="1">
      <c r="A7" s="559" t="s">
        <v>45</v>
      </c>
      <c r="B7" s="560" t="s">
        <v>626</v>
      </c>
      <c r="C7" s="561" t="s">
        <v>746</v>
      </c>
      <c r="D7" s="562" t="s">
        <v>747</v>
      </c>
    </row>
    <row r="8" spans="1:4" ht="16.5" thickBot="1">
      <c r="A8" s="563" t="s">
        <v>387</v>
      </c>
      <c r="B8" s="564" t="s">
        <v>388</v>
      </c>
      <c r="C8" s="564" t="s">
        <v>389</v>
      </c>
      <c r="D8" s="565" t="s">
        <v>391</v>
      </c>
    </row>
    <row r="9" spans="1:4" ht="15.75" customHeight="1">
      <c r="A9" s="566" t="s">
        <v>748</v>
      </c>
      <c r="B9" s="567" t="s">
        <v>6</v>
      </c>
      <c r="C9" s="568">
        <f>191+10</f>
        <v>201</v>
      </c>
      <c r="D9" s="569">
        <f>77836881+2004357</f>
        <v>79841238</v>
      </c>
    </row>
    <row r="10" spans="1:4" ht="15.75" customHeight="1">
      <c r="A10" s="566" t="s">
        <v>749</v>
      </c>
      <c r="B10" s="570" t="s">
        <v>7</v>
      </c>
      <c r="C10" s="571"/>
      <c r="D10" s="572"/>
    </row>
    <row r="11" spans="1:4" ht="15.75" customHeight="1">
      <c r="A11" s="566" t="s">
        <v>750</v>
      </c>
      <c r="B11" s="570" t="s">
        <v>8</v>
      </c>
      <c r="C11" s="571">
        <f>436+31</f>
        <v>467</v>
      </c>
      <c r="D11" s="572">
        <f>21695410+1440449</f>
        <v>23135859</v>
      </c>
    </row>
    <row r="12" spans="1:4" ht="15.75" customHeight="1" thickBot="1">
      <c r="A12" s="573" t="s">
        <v>751</v>
      </c>
      <c r="B12" s="574" t="s">
        <v>9</v>
      </c>
      <c r="C12" s="575"/>
      <c r="D12" s="576"/>
    </row>
    <row r="13" spans="1:4" ht="15.75" customHeight="1" thickBot="1">
      <c r="A13" s="577" t="s">
        <v>752</v>
      </c>
      <c r="B13" s="578" t="s">
        <v>10</v>
      </c>
      <c r="C13" s="579"/>
      <c r="D13" s="580">
        <f>+D14+D15+D16+D17</f>
        <v>93851939</v>
      </c>
    </row>
    <row r="14" spans="1:4" ht="15.75" customHeight="1">
      <c r="A14" s="581" t="s">
        <v>753</v>
      </c>
      <c r="B14" s="567" t="s">
        <v>11</v>
      </c>
      <c r="C14" s="568">
        <v>1</v>
      </c>
      <c r="D14" s="569">
        <v>93851939</v>
      </c>
    </row>
    <row r="15" spans="1:4" ht="15.75" customHeight="1">
      <c r="A15" s="566" t="s">
        <v>754</v>
      </c>
      <c r="B15" s="570" t="s">
        <v>12</v>
      </c>
      <c r="C15" s="571"/>
      <c r="D15" s="572"/>
    </row>
    <row r="16" spans="1:4" ht="15.75" customHeight="1">
      <c r="A16" s="566" t="s">
        <v>755</v>
      </c>
      <c r="B16" s="570" t="s">
        <v>13</v>
      </c>
      <c r="C16" s="571"/>
      <c r="D16" s="572"/>
    </row>
    <row r="17" spans="1:4" ht="15.75" customHeight="1" thickBot="1">
      <c r="A17" s="573" t="s">
        <v>756</v>
      </c>
      <c r="B17" s="574" t="s">
        <v>14</v>
      </c>
      <c r="C17" s="575"/>
      <c r="D17" s="576"/>
    </row>
    <row r="18" spans="1:4" ht="15.75" customHeight="1" thickBot="1">
      <c r="A18" s="577" t="s">
        <v>757</v>
      </c>
      <c r="B18" s="578" t="s">
        <v>15</v>
      </c>
      <c r="C18" s="579"/>
      <c r="D18" s="580">
        <f>+D19+D20+D21</f>
        <v>0</v>
      </c>
    </row>
    <row r="19" spans="1:4" ht="15.75" customHeight="1">
      <c r="A19" s="581" t="s">
        <v>758</v>
      </c>
      <c r="B19" s="567" t="s">
        <v>16</v>
      </c>
      <c r="C19" s="568"/>
      <c r="D19" s="569"/>
    </row>
    <row r="20" spans="1:4" ht="15.75" customHeight="1">
      <c r="A20" s="566" t="s">
        <v>759</v>
      </c>
      <c r="B20" s="570" t="s">
        <v>17</v>
      </c>
      <c r="C20" s="571"/>
      <c r="D20" s="572"/>
    </row>
    <row r="21" spans="1:4" ht="15.75" customHeight="1" thickBot="1">
      <c r="A21" s="573" t="s">
        <v>760</v>
      </c>
      <c r="B21" s="574" t="s">
        <v>18</v>
      </c>
      <c r="C21" s="575"/>
      <c r="D21" s="576"/>
    </row>
    <row r="22" spans="1:4" ht="15.75" customHeight="1" thickBot="1">
      <c r="A22" s="577" t="s">
        <v>761</v>
      </c>
      <c r="B22" s="578" t="s">
        <v>19</v>
      </c>
      <c r="C22" s="579"/>
      <c r="D22" s="580">
        <f>+D23+D24+D25</f>
        <v>0</v>
      </c>
    </row>
    <row r="23" spans="1:4" ht="15.75" customHeight="1">
      <c r="A23" s="581" t="s">
        <v>762</v>
      </c>
      <c r="B23" s="567" t="s">
        <v>20</v>
      </c>
      <c r="C23" s="568"/>
      <c r="D23" s="569"/>
    </row>
    <row r="24" spans="1:4" ht="15.75" customHeight="1">
      <c r="A24" s="566" t="s">
        <v>763</v>
      </c>
      <c r="B24" s="570" t="s">
        <v>21</v>
      </c>
      <c r="C24" s="571"/>
      <c r="D24" s="572"/>
    </row>
    <row r="25" spans="1:4" ht="15.75" customHeight="1">
      <c r="A25" s="566" t="s">
        <v>764</v>
      </c>
      <c r="B25" s="570" t="s">
        <v>22</v>
      </c>
      <c r="C25" s="571"/>
      <c r="D25" s="572"/>
    </row>
    <row r="26" spans="1:4" ht="15.75" customHeight="1">
      <c r="A26" s="566" t="s">
        <v>765</v>
      </c>
      <c r="B26" s="570" t="s">
        <v>23</v>
      </c>
      <c r="C26" s="571"/>
      <c r="D26" s="572"/>
    </row>
    <row r="27" spans="1:4" ht="15.75" customHeight="1">
      <c r="A27" s="566"/>
      <c r="B27" s="570" t="s">
        <v>24</v>
      </c>
      <c r="C27" s="571"/>
      <c r="D27" s="572"/>
    </row>
    <row r="28" spans="1:4" ht="15.75" customHeight="1">
      <c r="A28" s="566"/>
      <c r="B28" s="570" t="s">
        <v>25</v>
      </c>
      <c r="C28" s="571"/>
      <c r="D28" s="572"/>
    </row>
    <row r="29" spans="1:4" ht="15.75" customHeight="1">
      <c r="A29" s="566"/>
      <c r="B29" s="570" t="s">
        <v>26</v>
      </c>
      <c r="C29" s="571"/>
      <c r="D29" s="572"/>
    </row>
    <row r="30" spans="1:4" ht="15.75" customHeight="1">
      <c r="A30" s="566"/>
      <c r="B30" s="570" t="s">
        <v>27</v>
      </c>
      <c r="C30" s="571"/>
      <c r="D30" s="572"/>
    </row>
    <row r="31" spans="1:4" ht="15.75" customHeight="1">
      <c r="A31" s="566"/>
      <c r="B31" s="570" t="s">
        <v>28</v>
      </c>
      <c r="C31" s="571"/>
      <c r="D31" s="572"/>
    </row>
    <row r="32" spans="1:4" ht="15.75" customHeight="1">
      <c r="A32" s="566"/>
      <c r="B32" s="570" t="s">
        <v>29</v>
      </c>
      <c r="C32" s="571"/>
      <c r="D32" s="572"/>
    </row>
    <row r="33" spans="1:4" ht="15.75" customHeight="1">
      <c r="A33" s="566"/>
      <c r="B33" s="570" t="s">
        <v>30</v>
      </c>
      <c r="C33" s="571"/>
      <c r="D33" s="572"/>
    </row>
    <row r="34" spans="1:4" ht="15.75" customHeight="1">
      <c r="A34" s="566"/>
      <c r="B34" s="570" t="s">
        <v>31</v>
      </c>
      <c r="C34" s="571"/>
      <c r="D34" s="572"/>
    </row>
    <row r="35" spans="1:4" ht="15.75" customHeight="1">
      <c r="A35" s="566"/>
      <c r="B35" s="570" t="s">
        <v>32</v>
      </c>
      <c r="C35" s="571"/>
      <c r="D35" s="572"/>
    </row>
    <row r="36" spans="1:4" ht="15.75" customHeight="1">
      <c r="A36" s="566"/>
      <c r="B36" s="570" t="s">
        <v>33</v>
      </c>
      <c r="C36" s="571"/>
      <c r="D36" s="572"/>
    </row>
    <row r="37" spans="1:4" ht="15.75" customHeight="1">
      <c r="A37" s="566"/>
      <c r="B37" s="570" t="s">
        <v>620</v>
      </c>
      <c r="C37" s="571"/>
      <c r="D37" s="572"/>
    </row>
    <row r="38" spans="1:4" ht="15.75" customHeight="1">
      <c r="A38" s="566"/>
      <c r="B38" s="570" t="s">
        <v>621</v>
      </c>
      <c r="C38" s="571"/>
      <c r="D38" s="572"/>
    </row>
    <row r="39" spans="1:4" ht="15.75" customHeight="1">
      <c r="A39" s="566"/>
      <c r="B39" s="570" t="s">
        <v>622</v>
      </c>
      <c r="C39" s="571"/>
      <c r="D39" s="572"/>
    </row>
    <row r="40" spans="1:4" ht="15.75" customHeight="1">
      <c r="A40" s="566"/>
      <c r="B40" s="570" t="s">
        <v>623</v>
      </c>
      <c r="C40" s="571"/>
      <c r="D40" s="572"/>
    </row>
    <row r="41" spans="1:4" ht="15.75" customHeight="1" thickBot="1">
      <c r="A41" s="573"/>
      <c r="B41" s="574" t="s">
        <v>624</v>
      </c>
      <c r="C41" s="575"/>
      <c r="D41" s="576"/>
    </row>
    <row r="42" spans="1:6" ht="15.75" customHeight="1" thickBot="1">
      <c r="A42" s="990" t="s">
        <v>766</v>
      </c>
      <c r="B42" s="991"/>
      <c r="C42" s="582"/>
      <c r="D42" s="580">
        <f>+D9+D10+D11+D12+D13+D18+D22+D26+D27+D28+D29+D30+D31+D32+D33+D34+D35+D36+D37+D38+D39+D40+D41</f>
        <v>196829036</v>
      </c>
      <c r="F42" s="583"/>
    </row>
    <row r="43" ht="15.75">
      <c r="A43" s="584" t="s">
        <v>767</v>
      </c>
    </row>
    <row r="44" spans="1:4" ht="15.75">
      <c r="A44" s="585"/>
      <c r="B44" s="585"/>
      <c r="C44" s="992"/>
      <c r="D44" s="992"/>
    </row>
    <row r="45" spans="1:2" ht="15.75">
      <c r="A45" s="586"/>
      <c r="B45" s="586"/>
    </row>
    <row r="46" spans="1:3" ht="15.75">
      <c r="A46" s="586"/>
      <c r="B46" s="586"/>
      <c r="C46" s="586"/>
    </row>
  </sheetData>
  <sheetProtection selectLockedCells="1" selectUnlockedCells="1"/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zoomScale="120" zoomScaleNormal="120" zoomScalePageLayoutView="0" workbookViewId="0" topLeftCell="A1">
      <selection activeCell="I22" sqref="I22"/>
    </sheetView>
  </sheetViews>
  <sheetFormatPr defaultColWidth="9.00390625" defaultRowHeight="12.75"/>
  <cols>
    <col min="1" max="1" width="9.375" style="77" customWidth="1"/>
    <col min="2" max="2" width="51.875" style="77" customWidth="1"/>
    <col min="3" max="3" width="25.00390625" style="77" customWidth="1"/>
    <col min="4" max="4" width="22.875" style="77" customWidth="1"/>
    <col min="5" max="5" width="25.00390625" style="77" customWidth="1"/>
    <col min="6" max="6" width="5.50390625" style="77" customWidth="1"/>
    <col min="7" max="16384" width="9.375" style="77" customWidth="1"/>
  </cols>
  <sheetData>
    <row r="1" spans="1:5" ht="12.75">
      <c r="A1" s="650"/>
      <c r="B1" s="650"/>
      <c r="C1" s="650"/>
      <c r="D1" s="650"/>
      <c r="E1" s="650"/>
    </row>
    <row r="2" spans="1:5" ht="15.75">
      <c r="A2" s="998" t="str">
        <f>CONCATENATE(PROPER(Z_ALAPADATOK!A3)," tulajdonában álló gazdálkodó szervezetek működéséből származó")</f>
        <v>Szalánta Községi Önkormányzat tulajdonában álló gazdálkodó szervezetek működéséből származó</v>
      </c>
      <c r="B2" s="998"/>
      <c r="C2" s="998"/>
      <c r="D2" s="998"/>
      <c r="E2" s="998"/>
    </row>
    <row r="3" spans="1:6" ht="15.75">
      <c r="A3" s="999" t="s">
        <v>927</v>
      </c>
      <c r="B3" s="998"/>
      <c r="C3" s="998"/>
      <c r="D3" s="998"/>
      <c r="E3" s="998"/>
      <c r="F3" s="995" t="str">
        <f>CONCATENATE("8. tájékoztató tábla ",Z_ALAPADATOK!A7," ",Z_ALAPADATOK!B7," ",Z_ALAPADATOK!C7," ",Z_ALAPADATOK!D7," ",Z_ALAPADATOK!E7," ",Z_ALAPADATOK!F7," ",Z_ALAPADATOK!G7," ",Z_ALAPADATOK!H7)</f>
        <v>8. tájékoztató tábla a 12 / 2020. ( VII.16. ) önkormányzati rendelethez</v>
      </c>
    </row>
    <row r="4" spans="1:6" ht="16.5" thickBot="1">
      <c r="A4" s="651"/>
      <c r="B4" s="650"/>
      <c r="C4" s="650"/>
      <c r="D4" s="650"/>
      <c r="E4" s="650"/>
      <c r="F4" s="995"/>
    </row>
    <row r="5" spans="1:6" ht="79.5" thickBot="1">
      <c r="A5" s="652" t="s">
        <v>626</v>
      </c>
      <c r="B5" s="653" t="s">
        <v>768</v>
      </c>
      <c r="C5" s="653" t="s">
        <v>769</v>
      </c>
      <c r="D5" s="653" t="s">
        <v>770</v>
      </c>
      <c r="E5" s="654" t="s">
        <v>771</v>
      </c>
      <c r="F5" s="995"/>
    </row>
    <row r="6" spans="1:6" ht="15.75">
      <c r="A6" s="648" t="s">
        <v>6</v>
      </c>
      <c r="B6" s="695" t="s">
        <v>903</v>
      </c>
      <c r="C6" s="696"/>
      <c r="D6" s="697">
        <v>10000</v>
      </c>
      <c r="E6" s="589"/>
      <c r="F6" s="995"/>
    </row>
    <row r="7" spans="1:6" ht="15.75">
      <c r="A7" s="649" t="s">
        <v>7</v>
      </c>
      <c r="E7" s="593"/>
      <c r="F7" s="995"/>
    </row>
    <row r="8" spans="1:6" ht="15.75">
      <c r="A8" s="649" t="s">
        <v>8</v>
      </c>
      <c r="B8" s="590"/>
      <c r="C8" s="591"/>
      <c r="D8" s="592"/>
      <c r="E8" s="593"/>
      <c r="F8" s="995"/>
    </row>
    <row r="9" spans="1:6" ht="15.75">
      <c r="A9" s="649" t="s">
        <v>9</v>
      </c>
      <c r="B9" s="590"/>
      <c r="C9" s="591"/>
      <c r="D9" s="592"/>
      <c r="E9" s="593"/>
      <c r="F9" s="995"/>
    </row>
    <row r="10" spans="1:6" ht="15.75">
      <c r="A10" s="649" t="s">
        <v>10</v>
      </c>
      <c r="B10" s="590"/>
      <c r="C10" s="591"/>
      <c r="D10" s="592"/>
      <c r="E10" s="593"/>
      <c r="F10" s="995"/>
    </row>
    <row r="11" spans="1:6" ht="16.5" thickBot="1">
      <c r="A11" s="649" t="s">
        <v>11</v>
      </c>
      <c r="B11" s="590"/>
      <c r="C11" s="591"/>
      <c r="D11" s="592"/>
      <c r="E11" s="593"/>
      <c r="F11" s="995"/>
    </row>
    <row r="12" spans="1:6" ht="16.5" thickBot="1">
      <c r="A12" s="996" t="s">
        <v>772</v>
      </c>
      <c r="B12" s="997"/>
      <c r="C12" s="594"/>
      <c r="D12" s="595">
        <f>IF(SUM(D6:D11)=0,"",SUM(D6:D11))</f>
        <v>10000</v>
      </c>
      <c r="E12" s="596">
        <f>IF(SUM(E6:E11)=0,"",SUM(E6:E11))</f>
      </c>
      <c r="F12" s="995"/>
    </row>
    <row r="13" ht="15.75">
      <c r="A13" s="588"/>
    </row>
  </sheetData>
  <sheetProtection selectLockedCells="1" selectUnlockedCells="1"/>
  <mergeCells count="4">
    <mergeCell ref="F3:F12"/>
    <mergeCell ref="A12:B12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2:D16"/>
  <sheetViews>
    <sheetView tabSelected="1" zoomScale="120" zoomScaleNormal="120" workbookViewId="0" topLeftCell="A1">
      <selection activeCell="N9" sqref="N9"/>
    </sheetView>
  </sheetViews>
  <sheetFormatPr defaultColWidth="9.00390625" defaultRowHeight="12.75"/>
  <cols>
    <col min="1" max="1" width="7.625" style="30" customWidth="1"/>
    <col min="2" max="2" width="60.875" style="30" customWidth="1"/>
    <col min="3" max="3" width="25.625" style="30" customWidth="1"/>
    <col min="4" max="4" width="11.875" style="30" bestFit="1" customWidth="1"/>
    <col min="5" max="16384" width="9.375" style="30" customWidth="1"/>
  </cols>
  <sheetData>
    <row r="2" spans="1:3" ht="15">
      <c r="A2" s="955" t="str">
        <f>CONCATENATE("9. tájékoztató tábla ",Z_ALAPADATOK!A7," ",Z_ALAPADATOK!B7," ",Z_ALAPADATOK!C7," ",Z_ALAPADATOK!D7," ",Z_ALAPADATOK!E7," ",Z_ALAPADATOK!F7," ",Z_ALAPADATOK!G7," ",Z_ALAPADATOK!H7)</f>
        <v>9. tájékoztató tábla a 12 / 2020. ( VII.16. ) önkormányzati rendelethez</v>
      </c>
      <c r="B2" s="1001"/>
      <c r="C2" s="1001"/>
    </row>
    <row r="3" spans="1:3" ht="14.25">
      <c r="A3" s="597"/>
      <c r="B3" s="597"/>
      <c r="C3" s="597"/>
    </row>
    <row r="4" spans="1:3" ht="33.75" customHeight="1">
      <c r="A4" s="1000" t="s">
        <v>773</v>
      </c>
      <c r="B4" s="1000"/>
      <c r="C4" s="1000"/>
    </row>
    <row r="5" ht="13.5" thickBot="1">
      <c r="C5" s="598"/>
    </row>
    <row r="6" spans="1:3" s="602" customFormat="1" ht="43.5" customHeight="1" thickBot="1">
      <c r="A6" s="599" t="s">
        <v>4</v>
      </c>
      <c r="B6" s="600" t="s">
        <v>45</v>
      </c>
      <c r="C6" s="601" t="s">
        <v>774</v>
      </c>
    </row>
    <row r="7" spans="1:3" ht="28.5" customHeight="1">
      <c r="A7" s="603" t="s">
        <v>6</v>
      </c>
      <c r="B7" s="604" t="s">
        <v>931</v>
      </c>
      <c r="C7" s="688">
        <f>C8+C9</f>
        <v>358852519</v>
      </c>
    </row>
    <row r="8" spans="1:3" ht="18" customHeight="1">
      <c r="A8" s="605" t="s">
        <v>7</v>
      </c>
      <c r="B8" s="606" t="s">
        <v>775</v>
      </c>
      <c r="C8" s="655">
        <v>358634404</v>
      </c>
    </row>
    <row r="9" spans="1:4" ht="18" customHeight="1">
      <c r="A9" s="605" t="s">
        <v>8</v>
      </c>
      <c r="B9" s="606" t="s">
        <v>776</v>
      </c>
      <c r="C9" s="655">
        <v>218115</v>
      </c>
      <c r="D9" s="694"/>
    </row>
    <row r="10" spans="1:3" ht="18" customHeight="1">
      <c r="A10" s="605" t="s">
        <v>9</v>
      </c>
      <c r="B10" s="607" t="s">
        <v>777</v>
      </c>
      <c r="C10" s="655">
        <v>263309275</v>
      </c>
    </row>
    <row r="11" spans="1:3" ht="18" customHeight="1">
      <c r="A11" s="608" t="s">
        <v>10</v>
      </c>
      <c r="B11" s="609" t="s">
        <v>778</v>
      </c>
      <c r="C11" s="656">
        <v>263595640</v>
      </c>
    </row>
    <row r="12" spans="1:3" ht="18" customHeight="1" thickBot="1">
      <c r="A12" s="610" t="s">
        <v>11</v>
      </c>
      <c r="B12" s="611" t="s">
        <v>779</v>
      </c>
      <c r="C12" s="657">
        <v>584291</v>
      </c>
    </row>
    <row r="13" spans="1:3" ht="25.5" customHeight="1">
      <c r="A13" s="612" t="s">
        <v>12</v>
      </c>
      <c r="B13" s="613" t="s">
        <v>932</v>
      </c>
      <c r="C13" s="658">
        <f>C7+C10-C11+C12</f>
        <v>359150445</v>
      </c>
    </row>
    <row r="14" spans="1:4" ht="18" customHeight="1">
      <c r="A14" s="605" t="s">
        <v>13</v>
      </c>
      <c r="B14" s="606" t="s">
        <v>775</v>
      </c>
      <c r="C14" s="655">
        <v>358818165</v>
      </c>
      <c r="D14" s="694"/>
    </row>
    <row r="15" spans="1:3" ht="18" customHeight="1" thickBot="1">
      <c r="A15" s="610" t="s">
        <v>14</v>
      </c>
      <c r="B15" s="614" t="s">
        <v>776</v>
      </c>
      <c r="C15" s="657">
        <v>332280</v>
      </c>
    </row>
    <row r="16" ht="12.75">
      <c r="C16" s="694"/>
    </row>
  </sheetData>
  <sheetProtection selectLockedCells="1" selectUnlockedCells="1"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7"/>
  <sheetViews>
    <sheetView zoomScale="120" zoomScaleNormal="120" zoomScaleSheetLayoutView="100" workbookViewId="0" topLeftCell="A1">
      <selection activeCell="B1" sqref="B1:E1"/>
    </sheetView>
  </sheetViews>
  <sheetFormatPr defaultColWidth="9.00390625" defaultRowHeight="12.75"/>
  <cols>
    <col min="1" max="1" width="9.50390625" style="151" customWidth="1"/>
    <col min="2" max="2" width="65.875" style="151" customWidth="1"/>
    <col min="3" max="3" width="17.875" style="152" customWidth="1"/>
    <col min="4" max="5" width="17.875" style="173" customWidth="1"/>
    <col min="6" max="6" width="12.125" style="173" bestFit="1" customWidth="1"/>
    <col min="7" max="16384" width="9.375" style="173" customWidth="1"/>
  </cols>
  <sheetData>
    <row r="1" spans="1:5" ht="15.75">
      <c r="A1" s="338"/>
      <c r="B1" s="827" t="str">
        <f>CONCATENATE("1.1. melléklet ",Z_ALAPADATOK!A7," ",Z_ALAPADATOK!B7," ",Z_ALAPADATOK!C7," ",Z_ALAPADATOK!D7," ",Z_ALAPADATOK!E7," ",Z_ALAPADATOK!F7," ",Z_ALAPADATOK!G7," ",Z_ALAPADATOK!H7)</f>
        <v>1.1. melléklet a 12 / 2020. ( VII.16. ) önkormányzati rendelethez</v>
      </c>
      <c r="C1" s="828"/>
      <c r="D1" s="828"/>
      <c r="E1" s="828"/>
    </row>
    <row r="2" spans="1:5" ht="15.75">
      <c r="A2" s="829" t="str">
        <f>CONCATENATE(Z_ALAPADATOK!A3)</f>
        <v>Szalánta Községi Önkormányzat</v>
      </c>
      <c r="B2" s="830"/>
      <c r="C2" s="830"/>
      <c r="D2" s="830"/>
      <c r="E2" s="830"/>
    </row>
    <row r="3" spans="1:5" ht="15.75">
      <c r="A3" s="829" t="s">
        <v>928</v>
      </c>
      <c r="B3" s="829"/>
      <c r="C3" s="831"/>
      <c r="D3" s="829"/>
      <c r="E3" s="829"/>
    </row>
    <row r="4" spans="1:5" ht="12" customHeight="1">
      <c r="A4" s="829"/>
      <c r="B4" s="829"/>
      <c r="C4" s="831"/>
      <c r="D4" s="829"/>
      <c r="E4" s="829"/>
    </row>
    <row r="5" spans="1:5" ht="15.75">
      <c r="A5" s="338"/>
      <c r="B5" s="338"/>
      <c r="C5" s="339"/>
      <c r="D5" s="340"/>
      <c r="E5" s="340"/>
    </row>
    <row r="6" spans="1:5" ht="15.75" customHeight="1">
      <c r="A6" s="823" t="s">
        <v>3</v>
      </c>
      <c r="B6" s="823"/>
      <c r="C6" s="823"/>
      <c r="D6" s="823"/>
      <c r="E6" s="823"/>
    </row>
    <row r="7" spans="1:5" ht="15.75" customHeight="1" thickBot="1">
      <c r="A7" s="825" t="s">
        <v>102</v>
      </c>
      <c r="B7" s="825"/>
      <c r="C7" s="341"/>
      <c r="D7" s="340"/>
      <c r="E7" s="341" t="s">
        <v>492</v>
      </c>
    </row>
    <row r="8" spans="1:5" ht="15.75">
      <c r="A8" s="833" t="s">
        <v>52</v>
      </c>
      <c r="B8" s="835" t="s">
        <v>5</v>
      </c>
      <c r="C8" s="819" t="str">
        <f>+CONCATENATE(LEFT(Z_ÖSSZEFÜGGÉSEK!A6,4),". évi")</f>
        <v>2019. évi</v>
      </c>
      <c r="D8" s="820"/>
      <c r="E8" s="821"/>
    </row>
    <row r="9" spans="1:5" ht="24.75" thickBot="1">
      <c r="A9" s="834"/>
      <c r="B9" s="836"/>
      <c r="C9" s="246" t="s">
        <v>416</v>
      </c>
      <c r="D9" s="245" t="s">
        <v>417</v>
      </c>
      <c r="E9" s="327" t="str">
        <f>+CONCATENATE(LEFT(Z_ÖSSZEFÜGGÉSEK!A6,4),". XII. 31.",CHAR(10),"teljesítés")</f>
        <v>2019. XII. 31.
teljesítés</v>
      </c>
    </row>
    <row r="10" spans="1:5" s="174" customFormat="1" ht="12" customHeight="1" thickBot="1">
      <c r="A10" s="170" t="s">
        <v>387</v>
      </c>
      <c r="B10" s="171" t="s">
        <v>388</v>
      </c>
      <c r="C10" s="171" t="s">
        <v>389</v>
      </c>
      <c r="D10" s="171" t="s">
        <v>391</v>
      </c>
      <c r="E10" s="247" t="s">
        <v>390</v>
      </c>
    </row>
    <row r="11" spans="1:5" s="175" customFormat="1" ht="12" customHeight="1" thickBot="1">
      <c r="A11" s="18" t="s">
        <v>6</v>
      </c>
      <c r="B11" s="19" t="s">
        <v>164</v>
      </c>
      <c r="C11" s="163">
        <f>+C12+C13+C14+C15+C16+C17</f>
        <v>173789722</v>
      </c>
      <c r="D11" s="249">
        <f>+D12+D13+D14+D15+D16+D17</f>
        <v>186371785</v>
      </c>
      <c r="E11" s="100">
        <f>+E12+E13+E14+E15+E16+E17</f>
        <v>186371785</v>
      </c>
    </row>
    <row r="12" spans="1:5" s="175" customFormat="1" ht="12" customHeight="1">
      <c r="A12" s="13" t="s">
        <v>64</v>
      </c>
      <c r="B12" s="176" t="s">
        <v>165</v>
      </c>
      <c r="C12" s="165">
        <v>59002426</v>
      </c>
      <c r="D12" s="250">
        <v>61425576</v>
      </c>
      <c r="E12" s="250">
        <v>61425576</v>
      </c>
    </row>
    <row r="13" spans="1:5" s="175" customFormat="1" ht="12" customHeight="1">
      <c r="A13" s="12" t="s">
        <v>65</v>
      </c>
      <c r="B13" s="177" t="s">
        <v>166</v>
      </c>
      <c r="C13" s="164">
        <v>57190699</v>
      </c>
      <c r="D13" s="251">
        <v>56671559</v>
      </c>
      <c r="E13" s="251">
        <v>56671559</v>
      </c>
    </row>
    <row r="14" spans="1:5" s="175" customFormat="1" ht="12" customHeight="1">
      <c r="A14" s="12" t="s">
        <v>66</v>
      </c>
      <c r="B14" s="177" t="s">
        <v>167</v>
      </c>
      <c r="C14" s="164">
        <v>55796597</v>
      </c>
      <c r="D14" s="251">
        <v>57316990</v>
      </c>
      <c r="E14" s="251">
        <v>57316990</v>
      </c>
    </row>
    <row r="15" spans="1:5" s="175" customFormat="1" ht="12" customHeight="1">
      <c r="A15" s="12" t="s">
        <v>67</v>
      </c>
      <c r="B15" s="177" t="s">
        <v>168</v>
      </c>
      <c r="C15" s="164">
        <v>1800000</v>
      </c>
      <c r="D15" s="251">
        <v>1800000</v>
      </c>
      <c r="E15" s="251">
        <v>1800000</v>
      </c>
    </row>
    <row r="16" spans="1:5" s="175" customFormat="1" ht="12" customHeight="1">
      <c r="A16" s="12" t="s">
        <v>99</v>
      </c>
      <c r="B16" s="108" t="s">
        <v>335</v>
      </c>
      <c r="C16" s="164"/>
      <c r="D16" s="251">
        <v>8967200</v>
      </c>
      <c r="E16" s="251">
        <v>8967200</v>
      </c>
    </row>
    <row r="17" spans="1:5" s="175" customFormat="1" ht="12" customHeight="1" thickBot="1">
      <c r="A17" s="14" t="s">
        <v>68</v>
      </c>
      <c r="B17" s="109" t="s">
        <v>336</v>
      </c>
      <c r="C17" s="164"/>
      <c r="D17" s="251">
        <v>190460</v>
      </c>
      <c r="E17" s="251">
        <v>190460</v>
      </c>
    </row>
    <row r="18" spans="1:5" s="175" customFormat="1" ht="12" customHeight="1" thickBot="1">
      <c r="A18" s="18" t="s">
        <v>7</v>
      </c>
      <c r="B18" s="107" t="s">
        <v>169</v>
      </c>
      <c r="C18" s="163">
        <f>+C19+C20+C21+C22+C23</f>
        <v>15388366</v>
      </c>
      <c r="D18" s="249">
        <f>+D19+D20+D21+D22+D23</f>
        <v>27538645</v>
      </c>
      <c r="E18" s="100">
        <f>+E19+E20+E21+E22+E23</f>
        <v>28240568</v>
      </c>
    </row>
    <row r="19" spans="1:5" s="175" customFormat="1" ht="12" customHeight="1">
      <c r="A19" s="13" t="s">
        <v>70</v>
      </c>
      <c r="B19" s="176" t="s">
        <v>170</v>
      </c>
      <c r="C19" s="165"/>
      <c r="D19" s="250"/>
      <c r="E19" s="102"/>
    </row>
    <row r="20" spans="1:5" s="175" customFormat="1" ht="12" customHeight="1">
      <c r="A20" s="12" t="s">
        <v>71</v>
      </c>
      <c r="B20" s="177" t="s">
        <v>171</v>
      </c>
      <c r="C20" s="164"/>
      <c r="D20" s="251"/>
      <c r="E20" s="101"/>
    </row>
    <row r="21" spans="1:5" s="175" customFormat="1" ht="12" customHeight="1">
      <c r="A21" s="12" t="s">
        <v>72</v>
      </c>
      <c r="B21" s="177" t="s">
        <v>328</v>
      </c>
      <c r="C21" s="164"/>
      <c r="D21" s="251"/>
      <c r="E21" s="101"/>
    </row>
    <row r="22" spans="1:5" s="175" customFormat="1" ht="12" customHeight="1">
      <c r="A22" s="12" t="s">
        <v>73</v>
      </c>
      <c r="B22" s="177" t="s">
        <v>329</v>
      </c>
      <c r="C22" s="164"/>
      <c r="D22" s="251"/>
      <c r="E22" s="101"/>
    </row>
    <row r="23" spans="1:5" s="175" customFormat="1" ht="12" customHeight="1">
      <c r="A23" s="12" t="s">
        <v>74</v>
      </c>
      <c r="B23" s="177" t="s">
        <v>172</v>
      </c>
      <c r="C23" s="164">
        <v>15388366</v>
      </c>
      <c r="D23" s="251">
        <v>27538645</v>
      </c>
      <c r="E23" s="101">
        <v>28240568</v>
      </c>
    </row>
    <row r="24" spans="1:5" s="175" customFormat="1" ht="12" customHeight="1" thickBot="1">
      <c r="A24" s="14" t="s">
        <v>81</v>
      </c>
      <c r="B24" s="109" t="s">
        <v>173</v>
      </c>
      <c r="C24" s="166"/>
      <c r="D24" s="252">
        <v>4000000</v>
      </c>
      <c r="E24" s="103">
        <v>4000000</v>
      </c>
    </row>
    <row r="25" spans="1:5" s="175" customFormat="1" ht="12" customHeight="1" thickBot="1">
      <c r="A25" s="18" t="s">
        <v>8</v>
      </c>
      <c r="B25" s="19" t="s">
        <v>174</v>
      </c>
      <c r="C25" s="163">
        <f>+C26+C27+C28+C29+C30</f>
        <v>0</v>
      </c>
      <c r="D25" s="249">
        <f>+D26+D27+D28+D29+D30</f>
        <v>0</v>
      </c>
      <c r="E25" s="100">
        <f>+E26+E27+E28+E29+E30</f>
        <v>0</v>
      </c>
    </row>
    <row r="26" spans="1:5" s="175" customFormat="1" ht="12" customHeight="1">
      <c r="A26" s="13" t="s">
        <v>53</v>
      </c>
      <c r="B26" s="176" t="s">
        <v>175</v>
      </c>
      <c r="C26" s="165"/>
      <c r="D26" s="250"/>
      <c r="E26" s="102"/>
    </row>
    <row r="27" spans="1:5" s="175" customFormat="1" ht="12" customHeight="1">
      <c r="A27" s="12" t="s">
        <v>54</v>
      </c>
      <c r="B27" s="177" t="s">
        <v>176</v>
      </c>
      <c r="C27" s="164"/>
      <c r="D27" s="251"/>
      <c r="E27" s="101"/>
    </row>
    <row r="28" spans="1:5" s="175" customFormat="1" ht="12" customHeight="1">
      <c r="A28" s="12" t="s">
        <v>55</v>
      </c>
      <c r="B28" s="177" t="s">
        <v>330</v>
      </c>
      <c r="C28" s="164"/>
      <c r="D28" s="251"/>
      <c r="E28" s="101"/>
    </row>
    <row r="29" spans="1:5" s="175" customFormat="1" ht="12" customHeight="1">
      <c r="A29" s="12" t="s">
        <v>56</v>
      </c>
      <c r="B29" s="177" t="s">
        <v>331</v>
      </c>
      <c r="C29" s="164"/>
      <c r="D29" s="251"/>
      <c r="E29" s="101"/>
    </row>
    <row r="30" spans="1:5" s="175" customFormat="1" ht="12" customHeight="1">
      <c r="A30" s="12" t="s">
        <v>112</v>
      </c>
      <c r="B30" s="177" t="s">
        <v>177</v>
      </c>
      <c r="C30" s="164"/>
      <c r="D30" s="251"/>
      <c r="E30" s="101"/>
    </row>
    <row r="31" spans="1:5" s="175" customFormat="1" ht="12" customHeight="1" thickBot="1">
      <c r="A31" s="14" t="s">
        <v>113</v>
      </c>
      <c r="B31" s="178" t="s">
        <v>178</v>
      </c>
      <c r="C31" s="166"/>
      <c r="D31" s="252"/>
      <c r="E31" s="103"/>
    </row>
    <row r="32" spans="1:5" s="175" customFormat="1" ht="12" customHeight="1" thickBot="1">
      <c r="A32" s="18" t="s">
        <v>114</v>
      </c>
      <c r="B32" s="19" t="s">
        <v>481</v>
      </c>
      <c r="C32" s="169">
        <f>SUM(C33:C40)</f>
        <v>23500000</v>
      </c>
      <c r="D32" s="169">
        <f>SUM(D33:D40)</f>
        <v>23500000</v>
      </c>
      <c r="E32" s="205">
        <f>SUM(E33:E40)</f>
        <v>30914145</v>
      </c>
    </row>
    <row r="33" spans="1:5" s="175" customFormat="1" ht="12" customHeight="1">
      <c r="A33" s="13" t="s">
        <v>179</v>
      </c>
      <c r="B33" s="176" t="s">
        <v>482</v>
      </c>
      <c r="C33" s="165"/>
      <c r="D33" s="165"/>
      <c r="E33" s="102"/>
    </row>
    <row r="34" spans="1:5" s="175" customFormat="1" ht="12" customHeight="1">
      <c r="A34" s="13" t="s">
        <v>180</v>
      </c>
      <c r="B34" s="176" t="s">
        <v>878</v>
      </c>
      <c r="C34" s="165">
        <v>2100000</v>
      </c>
      <c r="D34" s="165">
        <v>2100000</v>
      </c>
      <c r="E34" s="102">
        <v>2565863</v>
      </c>
    </row>
    <row r="35" spans="1:5" s="175" customFormat="1" ht="12" customHeight="1">
      <c r="A35" s="12" t="s">
        <v>181</v>
      </c>
      <c r="B35" s="177" t="s">
        <v>883</v>
      </c>
      <c r="C35" s="164"/>
      <c r="D35" s="164"/>
      <c r="E35" s="101"/>
    </row>
    <row r="36" spans="1:5" s="175" customFormat="1" ht="12" customHeight="1">
      <c r="A36" s="12" t="s">
        <v>182</v>
      </c>
      <c r="B36" s="177" t="s">
        <v>483</v>
      </c>
      <c r="C36" s="164">
        <v>17000000</v>
      </c>
      <c r="D36" s="164">
        <v>17000000</v>
      </c>
      <c r="E36" s="101">
        <v>23747296</v>
      </c>
    </row>
    <row r="37" spans="1:5" s="175" customFormat="1" ht="12" customHeight="1">
      <c r="A37" s="12" t="s">
        <v>485</v>
      </c>
      <c r="B37" s="177" t="s">
        <v>484</v>
      </c>
      <c r="C37" s="164"/>
      <c r="D37" s="164"/>
      <c r="E37" s="101"/>
    </row>
    <row r="38" spans="1:5" s="175" customFormat="1" ht="12" customHeight="1">
      <c r="A38" s="12" t="s">
        <v>486</v>
      </c>
      <c r="B38" s="177" t="s">
        <v>183</v>
      </c>
      <c r="C38" s="164">
        <v>4000000</v>
      </c>
      <c r="D38" s="164">
        <v>4000000</v>
      </c>
      <c r="E38" s="101">
        <v>4367476</v>
      </c>
    </row>
    <row r="39" spans="1:5" s="175" customFormat="1" ht="12" customHeight="1">
      <c r="A39" s="12" t="s">
        <v>487</v>
      </c>
      <c r="B39" s="177" t="s">
        <v>184</v>
      </c>
      <c r="C39" s="164"/>
      <c r="D39" s="164"/>
      <c r="E39" s="101"/>
    </row>
    <row r="40" spans="1:5" s="175" customFormat="1" ht="12" customHeight="1" thickBot="1">
      <c r="A40" s="14" t="s">
        <v>881</v>
      </c>
      <c r="B40" s="318" t="s">
        <v>185</v>
      </c>
      <c r="C40" s="166">
        <v>400000</v>
      </c>
      <c r="D40" s="166">
        <v>400000</v>
      </c>
      <c r="E40" s="103">
        <v>233510</v>
      </c>
    </row>
    <row r="41" spans="1:5" s="175" customFormat="1" ht="12" customHeight="1" thickBot="1">
      <c r="A41" s="18" t="s">
        <v>10</v>
      </c>
      <c r="B41" s="19" t="s">
        <v>337</v>
      </c>
      <c r="C41" s="163">
        <f>SUM(C42:C52)</f>
        <v>8598500</v>
      </c>
      <c r="D41" s="249">
        <f>SUM(D42:D52)</f>
        <v>8598500</v>
      </c>
      <c r="E41" s="100">
        <f>SUM(E42:E52)</f>
        <v>10136830</v>
      </c>
    </row>
    <row r="42" spans="1:5" s="175" customFormat="1" ht="12" customHeight="1">
      <c r="A42" s="13" t="s">
        <v>57</v>
      </c>
      <c r="B42" s="176" t="s">
        <v>188</v>
      </c>
      <c r="C42" s="165"/>
      <c r="D42" s="250"/>
      <c r="E42" s="102"/>
    </row>
    <row r="43" spans="1:5" s="175" customFormat="1" ht="12" customHeight="1">
      <c r="A43" s="12" t="s">
        <v>58</v>
      </c>
      <c r="B43" s="177" t="s">
        <v>189</v>
      </c>
      <c r="C43" s="164">
        <v>1170000</v>
      </c>
      <c r="D43" s="164">
        <v>1170000</v>
      </c>
      <c r="E43" s="101">
        <v>1598519</v>
      </c>
    </row>
    <row r="44" spans="1:5" s="175" customFormat="1" ht="12" customHeight="1">
      <c r="A44" s="12" t="s">
        <v>59</v>
      </c>
      <c r="B44" s="177" t="s">
        <v>190</v>
      </c>
      <c r="C44" s="164">
        <v>3930000</v>
      </c>
      <c r="D44" s="164">
        <v>3930000</v>
      </c>
      <c r="E44" s="101">
        <v>3929243</v>
      </c>
    </row>
    <row r="45" spans="1:5" s="175" customFormat="1" ht="12" customHeight="1">
      <c r="A45" s="12" t="s">
        <v>116</v>
      </c>
      <c r="B45" s="177" t="s">
        <v>191</v>
      </c>
      <c r="C45" s="164">
        <v>2000000</v>
      </c>
      <c r="D45" s="164">
        <v>2000000</v>
      </c>
      <c r="E45" s="101">
        <v>2574607</v>
      </c>
    </row>
    <row r="46" spans="1:5" s="175" customFormat="1" ht="12" customHeight="1">
      <c r="A46" s="12" t="s">
        <v>117</v>
      </c>
      <c r="B46" s="177" t="s">
        <v>192</v>
      </c>
      <c r="C46" s="164"/>
      <c r="D46" s="164"/>
      <c r="E46" s="101"/>
    </row>
    <row r="47" spans="1:5" s="175" customFormat="1" ht="12" customHeight="1">
      <c r="A47" s="12" t="s">
        <v>118</v>
      </c>
      <c r="B47" s="177" t="s">
        <v>193</v>
      </c>
      <c r="C47" s="164">
        <v>1498500</v>
      </c>
      <c r="D47" s="164">
        <v>1498500</v>
      </c>
      <c r="E47" s="101">
        <v>1687377</v>
      </c>
    </row>
    <row r="48" spans="1:5" s="175" customFormat="1" ht="12" customHeight="1">
      <c r="A48" s="12" t="s">
        <v>119</v>
      </c>
      <c r="B48" s="177" t="s">
        <v>194</v>
      </c>
      <c r="C48" s="164"/>
      <c r="D48" s="251"/>
      <c r="E48" s="101"/>
    </row>
    <row r="49" spans="1:5" s="175" customFormat="1" ht="12" customHeight="1">
      <c r="A49" s="12" t="s">
        <v>120</v>
      </c>
      <c r="B49" s="177" t="s">
        <v>488</v>
      </c>
      <c r="C49" s="164"/>
      <c r="D49" s="251"/>
      <c r="E49" s="101">
        <v>45</v>
      </c>
    </row>
    <row r="50" spans="1:5" s="175" customFormat="1" ht="12" customHeight="1">
      <c r="A50" s="12" t="s">
        <v>186</v>
      </c>
      <c r="B50" s="177" t="s">
        <v>196</v>
      </c>
      <c r="C50" s="167"/>
      <c r="D50" s="307"/>
      <c r="E50" s="104"/>
    </row>
    <row r="51" spans="1:5" s="175" customFormat="1" ht="12" customHeight="1">
      <c r="A51" s="14" t="s">
        <v>187</v>
      </c>
      <c r="B51" s="178" t="s">
        <v>339</v>
      </c>
      <c r="C51" s="168"/>
      <c r="D51" s="308"/>
      <c r="E51" s="105"/>
    </row>
    <row r="52" spans="1:5" s="175" customFormat="1" ht="12" customHeight="1" thickBot="1">
      <c r="A52" s="14" t="s">
        <v>338</v>
      </c>
      <c r="B52" s="109" t="s">
        <v>197</v>
      </c>
      <c r="C52" s="168"/>
      <c r="D52" s="308"/>
      <c r="E52" s="105">
        <v>347039</v>
      </c>
    </row>
    <row r="53" spans="1:5" s="175" customFormat="1" ht="12" customHeight="1" thickBot="1">
      <c r="A53" s="18" t="s">
        <v>11</v>
      </c>
      <c r="B53" s="19" t="s">
        <v>198</v>
      </c>
      <c r="C53" s="163">
        <f>SUM(C54:C58)</f>
        <v>0</v>
      </c>
      <c r="D53" s="249">
        <f>SUM(D54:D58)</f>
        <v>0</v>
      </c>
      <c r="E53" s="100">
        <f>SUM(E54:E58)</f>
        <v>236472</v>
      </c>
    </row>
    <row r="54" spans="1:5" s="175" customFormat="1" ht="12" customHeight="1">
      <c r="A54" s="13" t="s">
        <v>60</v>
      </c>
      <c r="B54" s="176" t="s">
        <v>202</v>
      </c>
      <c r="C54" s="216"/>
      <c r="D54" s="309"/>
      <c r="E54" s="106"/>
    </row>
    <row r="55" spans="1:5" s="175" customFormat="1" ht="12" customHeight="1">
      <c r="A55" s="12" t="s">
        <v>61</v>
      </c>
      <c r="B55" s="177" t="s">
        <v>203</v>
      </c>
      <c r="C55" s="167"/>
      <c r="D55" s="307"/>
      <c r="E55" s="104"/>
    </row>
    <row r="56" spans="1:5" s="175" customFormat="1" ht="12" customHeight="1">
      <c r="A56" s="12" t="s">
        <v>199</v>
      </c>
      <c r="B56" s="177" t="s">
        <v>204</v>
      </c>
      <c r="C56" s="167"/>
      <c r="D56" s="307"/>
      <c r="E56" s="104">
        <v>236472</v>
      </c>
    </row>
    <row r="57" spans="1:5" s="175" customFormat="1" ht="12" customHeight="1">
      <c r="A57" s="12" t="s">
        <v>200</v>
      </c>
      <c r="B57" s="177" t="s">
        <v>205</v>
      </c>
      <c r="C57" s="167"/>
      <c r="D57" s="307"/>
      <c r="E57" s="104"/>
    </row>
    <row r="58" spans="1:5" s="175" customFormat="1" ht="12" customHeight="1" thickBot="1">
      <c r="A58" s="14" t="s">
        <v>201</v>
      </c>
      <c r="B58" s="109" t="s">
        <v>206</v>
      </c>
      <c r="C58" s="168"/>
      <c r="D58" s="308"/>
      <c r="E58" s="105"/>
    </row>
    <row r="59" spans="1:5" s="175" customFormat="1" ht="12" customHeight="1" thickBot="1">
      <c r="A59" s="18" t="s">
        <v>121</v>
      </c>
      <c r="B59" s="19" t="s">
        <v>207</v>
      </c>
      <c r="C59" s="163">
        <f>SUM(C60:C62)</f>
        <v>400000</v>
      </c>
      <c r="D59" s="249">
        <f>SUM(D60:D62)</f>
        <v>400000</v>
      </c>
      <c r="E59" s="100">
        <f>SUM(E60:E62)</f>
        <v>257713</v>
      </c>
    </row>
    <row r="60" spans="1:5" s="175" customFormat="1" ht="12" customHeight="1">
      <c r="A60" s="13" t="s">
        <v>62</v>
      </c>
      <c r="B60" s="176" t="s">
        <v>208</v>
      </c>
      <c r="C60" s="165"/>
      <c r="D60" s="250"/>
      <c r="E60" s="102"/>
    </row>
    <row r="61" spans="1:5" s="175" customFormat="1" ht="12" customHeight="1">
      <c r="A61" s="12" t="s">
        <v>63</v>
      </c>
      <c r="B61" s="177" t="s">
        <v>332</v>
      </c>
      <c r="C61" s="164">
        <v>400000</v>
      </c>
      <c r="D61" s="251">
        <v>400000</v>
      </c>
      <c r="E61" s="101">
        <v>203000</v>
      </c>
    </row>
    <row r="62" spans="1:5" s="175" customFormat="1" ht="12" customHeight="1">
      <c r="A62" s="12" t="s">
        <v>211</v>
      </c>
      <c r="B62" s="177" t="s">
        <v>209</v>
      </c>
      <c r="C62" s="164"/>
      <c r="D62" s="251"/>
      <c r="E62" s="101">
        <v>54713</v>
      </c>
    </row>
    <row r="63" spans="1:5" s="175" customFormat="1" ht="12" customHeight="1" thickBot="1">
      <c r="A63" s="14" t="s">
        <v>212</v>
      </c>
      <c r="B63" s="109" t="s">
        <v>210</v>
      </c>
      <c r="C63" s="166"/>
      <c r="D63" s="252"/>
      <c r="E63" s="103"/>
    </row>
    <row r="64" spans="1:5" s="175" customFormat="1" ht="12" customHeight="1" thickBot="1">
      <c r="A64" s="18" t="s">
        <v>13</v>
      </c>
      <c r="B64" s="107" t="s">
        <v>213</v>
      </c>
      <c r="C64" s="163">
        <f>SUM(C65:C67)</f>
        <v>0</v>
      </c>
      <c r="D64" s="249">
        <f>SUM(D65:D67)</f>
        <v>0</v>
      </c>
      <c r="E64" s="100">
        <f>SUM(E65:E67)</f>
        <v>0</v>
      </c>
    </row>
    <row r="65" spans="1:5" s="175" customFormat="1" ht="12" customHeight="1">
      <c r="A65" s="13" t="s">
        <v>122</v>
      </c>
      <c r="B65" s="176" t="s">
        <v>215</v>
      </c>
      <c r="C65" s="167"/>
      <c r="D65" s="307"/>
      <c r="E65" s="104"/>
    </row>
    <row r="66" spans="1:5" s="175" customFormat="1" ht="12" customHeight="1">
      <c r="A66" s="12" t="s">
        <v>123</v>
      </c>
      <c r="B66" s="177" t="s">
        <v>333</v>
      </c>
      <c r="C66" s="167"/>
      <c r="D66" s="307"/>
      <c r="E66" s="104"/>
    </row>
    <row r="67" spans="1:5" s="175" customFormat="1" ht="12" customHeight="1">
      <c r="A67" s="12" t="s">
        <v>146</v>
      </c>
      <c r="B67" s="177" t="s">
        <v>216</v>
      </c>
      <c r="C67" s="167"/>
      <c r="D67" s="307"/>
      <c r="E67" s="104"/>
    </row>
    <row r="68" spans="1:5" s="175" customFormat="1" ht="12" customHeight="1" thickBot="1">
      <c r="A68" s="14" t="s">
        <v>214</v>
      </c>
      <c r="B68" s="109" t="s">
        <v>217</v>
      </c>
      <c r="C68" s="167"/>
      <c r="D68" s="307"/>
      <c r="E68" s="104"/>
    </row>
    <row r="69" spans="1:5" s="175" customFormat="1" ht="12" customHeight="1" thickBot="1">
      <c r="A69" s="229" t="s">
        <v>379</v>
      </c>
      <c r="B69" s="19" t="s">
        <v>218</v>
      </c>
      <c r="C69" s="169">
        <f>+C11+C18+C25+C32+C41+C53+C59+C64</f>
        <v>221676588</v>
      </c>
      <c r="D69" s="253">
        <f>+D11+D18+D25+D32+D41+D53+D59+D64</f>
        <v>246408930</v>
      </c>
      <c r="E69" s="205">
        <f>+E11+E18+E25+E32+E41+E53+E59+E64</f>
        <v>256157513</v>
      </c>
    </row>
    <row r="70" spans="1:5" s="175" customFormat="1" ht="12" customHeight="1" thickBot="1">
      <c r="A70" s="217" t="s">
        <v>219</v>
      </c>
      <c r="B70" s="107" t="s">
        <v>220</v>
      </c>
      <c r="C70" s="163">
        <f>SUM(C71:C73)</f>
        <v>0</v>
      </c>
      <c r="D70" s="249">
        <f>SUM(D71:D73)</f>
        <v>0</v>
      </c>
      <c r="E70" s="100">
        <f>SUM(E71:E73)</f>
        <v>0</v>
      </c>
    </row>
    <row r="71" spans="1:5" s="175" customFormat="1" ht="12" customHeight="1">
      <c r="A71" s="13" t="s">
        <v>248</v>
      </c>
      <c r="B71" s="176" t="s">
        <v>221</v>
      </c>
      <c r="C71" s="167"/>
      <c r="D71" s="307"/>
      <c r="E71" s="104"/>
    </row>
    <row r="72" spans="1:5" s="175" customFormat="1" ht="12" customHeight="1">
      <c r="A72" s="12" t="s">
        <v>257</v>
      </c>
      <c r="B72" s="177" t="s">
        <v>222</v>
      </c>
      <c r="C72" s="167"/>
      <c r="D72" s="307"/>
      <c r="E72" s="104"/>
    </row>
    <row r="73" spans="1:5" s="175" customFormat="1" ht="12" customHeight="1" thickBot="1">
      <c r="A73" s="14" t="s">
        <v>258</v>
      </c>
      <c r="B73" s="225" t="s">
        <v>364</v>
      </c>
      <c r="C73" s="343"/>
      <c r="D73" s="310"/>
      <c r="E73" s="344"/>
    </row>
    <row r="74" spans="1:5" s="175" customFormat="1" ht="12" customHeight="1" thickBot="1">
      <c r="A74" s="217" t="s">
        <v>224</v>
      </c>
      <c r="B74" s="107" t="s">
        <v>225</v>
      </c>
      <c r="C74" s="163">
        <f>SUM(C75:C78)</f>
        <v>0</v>
      </c>
      <c r="D74" s="163">
        <f>SUM(D75:D78)</f>
        <v>0</v>
      </c>
      <c r="E74" s="100">
        <f>SUM(E75:E78)</f>
        <v>0</v>
      </c>
    </row>
    <row r="75" spans="1:5" s="175" customFormat="1" ht="12" customHeight="1">
      <c r="A75" s="13" t="s">
        <v>100</v>
      </c>
      <c r="B75" s="325" t="s">
        <v>226</v>
      </c>
      <c r="C75" s="167"/>
      <c r="D75" s="167"/>
      <c r="E75" s="104"/>
    </row>
    <row r="76" spans="1:5" s="175" customFormat="1" ht="12" customHeight="1">
      <c r="A76" s="12" t="s">
        <v>101</v>
      </c>
      <c r="B76" s="325" t="s">
        <v>495</v>
      </c>
      <c r="C76" s="167"/>
      <c r="D76" s="167"/>
      <c r="E76" s="104"/>
    </row>
    <row r="77" spans="1:5" s="175" customFormat="1" ht="12" customHeight="1">
      <c r="A77" s="12" t="s">
        <v>249</v>
      </c>
      <c r="B77" s="325" t="s">
        <v>227</v>
      </c>
      <c r="C77" s="167"/>
      <c r="D77" s="167"/>
      <c r="E77" s="104"/>
    </row>
    <row r="78" spans="1:5" s="175" customFormat="1" ht="12" customHeight="1" thickBot="1">
      <c r="A78" s="14" t="s">
        <v>250</v>
      </c>
      <c r="B78" s="326" t="s">
        <v>496</v>
      </c>
      <c r="C78" s="167"/>
      <c r="D78" s="167"/>
      <c r="E78" s="104"/>
    </row>
    <row r="79" spans="1:5" s="175" customFormat="1" ht="12" customHeight="1" thickBot="1">
      <c r="A79" s="217" t="s">
        <v>228</v>
      </c>
      <c r="B79" s="107" t="s">
        <v>229</v>
      </c>
      <c r="C79" s="163">
        <f>SUM(C80:C81)</f>
        <v>360753858</v>
      </c>
      <c r="D79" s="163">
        <f>SUM(D80:D81)</f>
        <v>360753858</v>
      </c>
      <c r="E79" s="100">
        <f>SUM(E80:E81)</f>
        <v>360753858</v>
      </c>
    </row>
    <row r="80" spans="1:5" s="175" customFormat="1" ht="12" customHeight="1">
      <c r="A80" s="13" t="s">
        <v>251</v>
      </c>
      <c r="B80" s="176" t="s">
        <v>230</v>
      </c>
      <c r="C80" s="167">
        <v>360753858</v>
      </c>
      <c r="D80" s="167">
        <v>360753858</v>
      </c>
      <c r="E80" s="104">
        <v>360753858</v>
      </c>
    </row>
    <row r="81" spans="1:5" s="175" customFormat="1" ht="12" customHeight="1" thickBot="1">
      <c r="A81" s="14" t="s">
        <v>252</v>
      </c>
      <c r="B81" s="109" t="s">
        <v>231</v>
      </c>
      <c r="C81" s="167"/>
      <c r="D81" s="167"/>
      <c r="E81" s="104"/>
    </row>
    <row r="82" spans="1:5" s="175" customFormat="1" ht="12" customHeight="1" thickBot="1">
      <c r="A82" s="217" t="s">
        <v>232</v>
      </c>
      <c r="B82" s="107" t="s">
        <v>233</v>
      </c>
      <c r="C82" s="163">
        <f>SUM(C83:C85)</f>
        <v>0</v>
      </c>
      <c r="D82" s="163">
        <f>SUM(D83:D85)</f>
        <v>7151762</v>
      </c>
      <c r="E82" s="100">
        <f>SUM(E83:E85)</f>
        <v>7151762</v>
      </c>
    </row>
    <row r="83" spans="1:5" s="175" customFormat="1" ht="12" customHeight="1">
      <c r="A83" s="13" t="s">
        <v>253</v>
      </c>
      <c r="B83" s="176" t="s">
        <v>234</v>
      </c>
      <c r="C83" s="167"/>
      <c r="D83" s="167">
        <v>7151762</v>
      </c>
      <c r="E83" s="104">
        <v>7151762</v>
      </c>
    </row>
    <row r="84" spans="1:5" s="175" customFormat="1" ht="12" customHeight="1">
      <c r="A84" s="12" t="s">
        <v>254</v>
      </c>
      <c r="B84" s="177" t="s">
        <v>235</v>
      </c>
      <c r="C84" s="167"/>
      <c r="D84" s="167"/>
      <c r="E84" s="104"/>
    </row>
    <row r="85" spans="1:5" s="175" customFormat="1" ht="12" customHeight="1" thickBot="1">
      <c r="A85" s="14" t="s">
        <v>255</v>
      </c>
      <c r="B85" s="109" t="s">
        <v>497</v>
      </c>
      <c r="C85" s="167"/>
      <c r="D85" s="167"/>
      <c r="E85" s="104"/>
    </row>
    <row r="86" spans="1:5" s="175" customFormat="1" ht="12" customHeight="1" thickBot="1">
      <c r="A86" s="217" t="s">
        <v>236</v>
      </c>
      <c r="B86" s="107" t="s">
        <v>256</v>
      </c>
      <c r="C86" s="163">
        <f>SUM(C87:C90)</f>
        <v>0</v>
      </c>
      <c r="D86" s="163">
        <f>SUM(D87:D90)</f>
        <v>0</v>
      </c>
      <c r="E86" s="100">
        <f>SUM(E87:E90)</f>
        <v>0</v>
      </c>
    </row>
    <row r="87" spans="1:5" s="175" customFormat="1" ht="12" customHeight="1">
      <c r="A87" s="180" t="s">
        <v>237</v>
      </c>
      <c r="B87" s="176" t="s">
        <v>238</v>
      </c>
      <c r="C87" s="167"/>
      <c r="D87" s="167"/>
      <c r="E87" s="104"/>
    </row>
    <row r="88" spans="1:5" s="175" customFormat="1" ht="12" customHeight="1">
      <c r="A88" s="181" t="s">
        <v>239</v>
      </c>
      <c r="B88" s="177" t="s">
        <v>240</v>
      </c>
      <c r="C88" s="167"/>
      <c r="D88" s="167"/>
      <c r="E88" s="104"/>
    </row>
    <row r="89" spans="1:5" s="175" customFormat="1" ht="12" customHeight="1">
      <c r="A89" s="181" t="s">
        <v>241</v>
      </c>
      <c r="B89" s="177" t="s">
        <v>242</v>
      </c>
      <c r="C89" s="167"/>
      <c r="D89" s="167"/>
      <c r="E89" s="104"/>
    </row>
    <row r="90" spans="1:5" s="175" customFormat="1" ht="12" customHeight="1" thickBot="1">
      <c r="A90" s="182" t="s">
        <v>243</v>
      </c>
      <c r="B90" s="109" t="s">
        <v>244</v>
      </c>
      <c r="C90" s="167"/>
      <c r="D90" s="167"/>
      <c r="E90" s="104"/>
    </row>
    <row r="91" spans="1:5" s="175" customFormat="1" ht="12" customHeight="1" thickBot="1">
      <c r="A91" s="217" t="s">
        <v>245</v>
      </c>
      <c r="B91" s="107" t="s">
        <v>378</v>
      </c>
      <c r="C91" s="219"/>
      <c r="D91" s="219"/>
      <c r="E91" s="220"/>
    </row>
    <row r="92" spans="1:5" s="175" customFormat="1" ht="13.5" customHeight="1" thickBot="1">
      <c r="A92" s="217" t="s">
        <v>247</v>
      </c>
      <c r="B92" s="107" t="s">
        <v>246</v>
      </c>
      <c r="C92" s="219"/>
      <c r="D92" s="219"/>
      <c r="E92" s="220"/>
    </row>
    <row r="93" spans="1:5" s="175" customFormat="1" ht="15.75" customHeight="1" thickBot="1">
      <c r="A93" s="217" t="s">
        <v>259</v>
      </c>
      <c r="B93" s="183" t="s">
        <v>381</v>
      </c>
      <c r="C93" s="169">
        <f>+C70+C74+C79+C82+C86+C92+C91</f>
        <v>360753858</v>
      </c>
      <c r="D93" s="169">
        <f>+D70+D74+D79+D82+D86+D92+D91</f>
        <v>367905620</v>
      </c>
      <c r="E93" s="205">
        <f>+E70+E74+E79+E82+E86+E92+E91</f>
        <v>367905620</v>
      </c>
    </row>
    <row r="94" spans="1:5" s="175" customFormat="1" ht="25.5" customHeight="1" thickBot="1">
      <c r="A94" s="218" t="s">
        <v>380</v>
      </c>
      <c r="B94" s="184" t="s">
        <v>382</v>
      </c>
      <c r="C94" s="169">
        <f>+C69+C93</f>
        <v>582430446</v>
      </c>
      <c r="D94" s="169">
        <f>+D69+D93</f>
        <v>614314550</v>
      </c>
      <c r="E94" s="205">
        <f>+E69+E93</f>
        <v>624063133</v>
      </c>
    </row>
    <row r="95" spans="1:3" s="175" customFormat="1" ht="15" customHeight="1">
      <c r="A95" s="3"/>
      <c r="B95" s="4"/>
      <c r="C95" s="111"/>
    </row>
    <row r="96" spans="1:5" ht="16.5" customHeight="1">
      <c r="A96" s="824" t="s">
        <v>34</v>
      </c>
      <c r="B96" s="824"/>
      <c r="C96" s="824"/>
      <c r="D96" s="824"/>
      <c r="E96" s="824"/>
    </row>
    <row r="97" spans="1:5" s="185" customFormat="1" ht="16.5" customHeight="1" thickBot="1">
      <c r="A97" s="826" t="s">
        <v>103</v>
      </c>
      <c r="B97" s="826"/>
      <c r="C97" s="58"/>
      <c r="E97" s="58" t="str">
        <f>E7</f>
        <v> Forintban!</v>
      </c>
    </row>
    <row r="98" spans="1:5" ht="15.75">
      <c r="A98" s="833" t="s">
        <v>52</v>
      </c>
      <c r="B98" s="835" t="s">
        <v>418</v>
      </c>
      <c r="C98" s="819" t="str">
        <f>+CONCATENATE(LEFT(Z_ÖSSZEFÜGGÉSEK!A6,4),". évi")</f>
        <v>2019. évi</v>
      </c>
      <c r="D98" s="820"/>
      <c r="E98" s="821"/>
    </row>
    <row r="99" spans="1:5" ht="24.75" thickBot="1">
      <c r="A99" s="834"/>
      <c r="B99" s="836"/>
      <c r="C99" s="246" t="s">
        <v>416</v>
      </c>
      <c r="D99" s="245" t="s">
        <v>417</v>
      </c>
      <c r="E99" s="327" t="str">
        <f>CONCATENATE(E9)</f>
        <v>2019. XII. 31.
teljesítés</v>
      </c>
    </row>
    <row r="100" spans="1:5" s="174" customFormat="1" ht="12" customHeight="1" thickBot="1">
      <c r="A100" s="24" t="s">
        <v>387</v>
      </c>
      <c r="B100" s="25" t="s">
        <v>388</v>
      </c>
      <c r="C100" s="25" t="s">
        <v>389</v>
      </c>
      <c r="D100" s="25" t="s">
        <v>391</v>
      </c>
      <c r="E100" s="257" t="s">
        <v>390</v>
      </c>
    </row>
    <row r="101" spans="1:5" ht="12" customHeight="1" thickBot="1">
      <c r="A101" s="20" t="s">
        <v>6</v>
      </c>
      <c r="B101" s="23" t="s">
        <v>340</v>
      </c>
      <c r="C101" s="162">
        <f>C102+C103+C104+C105+C106+C119</f>
        <v>349650046</v>
      </c>
      <c r="D101" s="162">
        <f>D102+D103+D104+D105+D106+D119</f>
        <v>600062150</v>
      </c>
      <c r="E101" s="232">
        <f>E102+E103+E104+E105+E106+E119</f>
        <v>249964721</v>
      </c>
    </row>
    <row r="102" spans="1:5" ht="12" customHeight="1">
      <c r="A102" s="15" t="s">
        <v>64</v>
      </c>
      <c r="B102" s="8" t="s">
        <v>35</v>
      </c>
      <c r="C102" s="239">
        <v>68910000</v>
      </c>
      <c r="D102" s="239">
        <v>76956000</v>
      </c>
      <c r="E102" s="233">
        <v>76233998</v>
      </c>
    </row>
    <row r="103" spans="1:5" ht="12" customHeight="1">
      <c r="A103" s="12" t="s">
        <v>65</v>
      </c>
      <c r="B103" s="6" t="s">
        <v>124</v>
      </c>
      <c r="C103" s="164">
        <v>12590000</v>
      </c>
      <c r="D103" s="164">
        <v>13650000</v>
      </c>
      <c r="E103" s="101">
        <v>13310321</v>
      </c>
    </row>
    <row r="104" spans="1:5" ht="12" customHeight="1">
      <c r="A104" s="12" t="s">
        <v>66</v>
      </c>
      <c r="B104" s="6" t="s">
        <v>92</v>
      </c>
      <c r="C104" s="166">
        <v>46542239</v>
      </c>
      <c r="D104" s="166">
        <v>52582150</v>
      </c>
      <c r="E104" s="103">
        <v>47048175</v>
      </c>
    </row>
    <row r="105" spans="1:5" ht="12" customHeight="1">
      <c r="A105" s="12" t="s">
        <v>67</v>
      </c>
      <c r="B105" s="9" t="s">
        <v>125</v>
      </c>
      <c r="C105" s="166">
        <v>3450000</v>
      </c>
      <c r="D105" s="166">
        <v>3450000</v>
      </c>
      <c r="E105" s="103">
        <v>2908500</v>
      </c>
    </row>
    <row r="106" spans="1:5" ht="12" customHeight="1">
      <c r="A106" s="12" t="s">
        <v>76</v>
      </c>
      <c r="B106" s="17" t="s">
        <v>126</v>
      </c>
      <c r="C106" s="166">
        <v>111841846</v>
      </c>
      <c r="D106" s="166">
        <v>111005000</v>
      </c>
      <c r="E106" s="103">
        <v>110463727</v>
      </c>
    </row>
    <row r="107" spans="1:5" ht="12" customHeight="1">
      <c r="A107" s="12" t="s">
        <v>68</v>
      </c>
      <c r="B107" s="6" t="s">
        <v>345</v>
      </c>
      <c r="C107" s="166"/>
      <c r="D107" s="166"/>
      <c r="E107" s="103"/>
    </row>
    <row r="108" spans="1:5" ht="12" customHeight="1">
      <c r="A108" s="12" t="s">
        <v>69</v>
      </c>
      <c r="B108" s="62" t="s">
        <v>344</v>
      </c>
      <c r="C108" s="166"/>
      <c r="D108" s="166"/>
      <c r="E108" s="103"/>
    </row>
    <row r="109" spans="1:5" ht="12" customHeight="1">
      <c r="A109" s="12" t="s">
        <v>77</v>
      </c>
      <c r="B109" s="62" t="s">
        <v>343</v>
      </c>
      <c r="C109" s="166"/>
      <c r="D109" s="166"/>
      <c r="E109" s="103"/>
    </row>
    <row r="110" spans="1:5" ht="12" customHeight="1">
      <c r="A110" s="12" t="s">
        <v>78</v>
      </c>
      <c r="B110" s="60" t="s">
        <v>262</v>
      </c>
      <c r="C110" s="166"/>
      <c r="D110" s="166"/>
      <c r="E110" s="103"/>
    </row>
    <row r="111" spans="1:5" ht="12" customHeight="1">
      <c r="A111" s="12" t="s">
        <v>79</v>
      </c>
      <c r="B111" s="61" t="s">
        <v>263</v>
      </c>
      <c r="C111" s="166"/>
      <c r="D111" s="166"/>
      <c r="E111" s="103"/>
    </row>
    <row r="112" spans="1:5" ht="12" customHeight="1">
      <c r="A112" s="12" t="s">
        <v>80</v>
      </c>
      <c r="B112" s="61" t="s">
        <v>264</v>
      </c>
      <c r="C112" s="166"/>
      <c r="D112" s="166"/>
      <c r="E112" s="103"/>
    </row>
    <row r="113" spans="1:5" ht="12" customHeight="1">
      <c r="A113" s="12" t="s">
        <v>82</v>
      </c>
      <c r="B113" s="60" t="s">
        <v>265</v>
      </c>
      <c r="C113" s="166">
        <v>109221846</v>
      </c>
      <c r="D113" s="166">
        <v>108685000</v>
      </c>
      <c r="E113" s="103">
        <v>108154226</v>
      </c>
    </row>
    <row r="114" spans="1:5" ht="12" customHeight="1">
      <c r="A114" s="12" t="s">
        <v>127</v>
      </c>
      <c r="B114" s="60" t="s">
        <v>266</v>
      </c>
      <c r="C114" s="166"/>
      <c r="D114" s="166"/>
      <c r="E114" s="103"/>
    </row>
    <row r="115" spans="1:5" ht="12" customHeight="1">
      <c r="A115" s="12" t="s">
        <v>260</v>
      </c>
      <c r="B115" s="61" t="s">
        <v>267</v>
      </c>
      <c r="C115" s="166">
        <v>400000</v>
      </c>
      <c r="D115" s="166">
        <v>50000</v>
      </c>
      <c r="E115" s="103">
        <v>50000</v>
      </c>
    </row>
    <row r="116" spans="1:6" ht="12" customHeight="1">
      <c r="A116" s="11" t="s">
        <v>261</v>
      </c>
      <c r="B116" s="62" t="s">
        <v>268</v>
      </c>
      <c r="C116" s="166"/>
      <c r="D116" s="166"/>
      <c r="E116" s="103"/>
      <c r="F116" s="690"/>
    </row>
    <row r="117" spans="1:5" ht="12" customHeight="1">
      <c r="A117" s="12" t="s">
        <v>341</v>
      </c>
      <c r="B117" s="62" t="s">
        <v>269</v>
      </c>
      <c r="C117" s="166"/>
      <c r="D117" s="166"/>
      <c r="E117" s="103"/>
    </row>
    <row r="118" spans="1:6" ht="12" customHeight="1">
      <c r="A118" s="14" t="s">
        <v>342</v>
      </c>
      <c r="B118" s="62" t="s">
        <v>270</v>
      </c>
      <c r="C118" s="166">
        <v>2220000</v>
      </c>
      <c r="D118" s="166">
        <v>2270000</v>
      </c>
      <c r="E118" s="103">
        <v>2259501</v>
      </c>
      <c r="F118" s="690"/>
    </row>
    <row r="119" spans="1:5" ht="12" customHeight="1">
      <c r="A119" s="12" t="s">
        <v>346</v>
      </c>
      <c r="B119" s="9" t="s">
        <v>36</v>
      </c>
      <c r="C119" s="164">
        <v>106315961</v>
      </c>
      <c r="D119" s="164">
        <v>342419000</v>
      </c>
      <c r="E119" s="101"/>
    </row>
    <row r="120" spans="1:6" ht="12" customHeight="1">
      <c r="A120" s="12" t="s">
        <v>347</v>
      </c>
      <c r="B120" s="6" t="s">
        <v>349</v>
      </c>
      <c r="C120" s="164">
        <v>106315961</v>
      </c>
      <c r="D120" s="164">
        <v>342419000</v>
      </c>
      <c r="E120" s="101"/>
      <c r="F120" s="690"/>
    </row>
    <row r="121" spans="1:5" ht="12" customHeight="1" thickBot="1">
      <c r="A121" s="16" t="s">
        <v>348</v>
      </c>
      <c r="B121" s="228" t="s">
        <v>350</v>
      </c>
      <c r="C121" s="240"/>
      <c r="D121" s="240"/>
      <c r="E121" s="234"/>
    </row>
    <row r="122" spans="1:5" ht="12" customHeight="1" thickBot="1">
      <c r="A122" s="226" t="s">
        <v>7</v>
      </c>
      <c r="B122" s="227" t="s">
        <v>271</v>
      </c>
      <c r="C122" s="241">
        <f>+C123+C125+C127</f>
        <v>226491000</v>
      </c>
      <c r="D122" s="163">
        <f>+D123+D125+D127</f>
        <v>7963000</v>
      </c>
      <c r="E122" s="235">
        <f>+E123+E125+E127</f>
        <v>7341519</v>
      </c>
    </row>
    <row r="123" spans="1:5" ht="12" customHeight="1">
      <c r="A123" s="13" t="s">
        <v>70</v>
      </c>
      <c r="B123" s="6" t="s">
        <v>145</v>
      </c>
      <c r="C123" s="165">
        <v>219541000</v>
      </c>
      <c r="D123" s="250">
        <v>1613000</v>
      </c>
      <c r="E123" s="102">
        <v>1403476</v>
      </c>
    </row>
    <row r="124" spans="1:5" ht="12" customHeight="1">
      <c r="A124" s="13" t="s">
        <v>71</v>
      </c>
      <c r="B124" s="10" t="s">
        <v>275</v>
      </c>
      <c r="C124" s="165">
        <v>200000000</v>
      </c>
      <c r="D124" s="250"/>
      <c r="E124" s="102"/>
    </row>
    <row r="125" spans="1:5" ht="12" customHeight="1">
      <c r="A125" s="13" t="s">
        <v>72</v>
      </c>
      <c r="B125" s="10" t="s">
        <v>128</v>
      </c>
      <c r="C125" s="164">
        <v>6350000</v>
      </c>
      <c r="D125" s="251">
        <v>5750000</v>
      </c>
      <c r="E125" s="101">
        <v>5638043</v>
      </c>
    </row>
    <row r="126" spans="1:5" ht="12" customHeight="1">
      <c r="A126" s="13" t="s">
        <v>73</v>
      </c>
      <c r="B126" s="10" t="s">
        <v>276</v>
      </c>
      <c r="C126" s="164"/>
      <c r="D126" s="251"/>
      <c r="E126" s="101"/>
    </row>
    <row r="127" spans="1:5" ht="12" customHeight="1">
      <c r="A127" s="13" t="s">
        <v>74</v>
      </c>
      <c r="B127" s="109" t="s">
        <v>147</v>
      </c>
      <c r="C127" s="164">
        <v>600000</v>
      </c>
      <c r="D127" s="251">
        <v>600000</v>
      </c>
      <c r="E127" s="101">
        <v>300000</v>
      </c>
    </row>
    <row r="128" spans="1:5" ht="12" customHeight="1">
      <c r="A128" s="13" t="s">
        <v>81</v>
      </c>
      <c r="B128" s="108" t="s">
        <v>334</v>
      </c>
      <c r="C128" s="164"/>
      <c r="D128" s="251"/>
      <c r="E128" s="101"/>
    </row>
    <row r="129" spans="1:5" ht="12" customHeight="1">
      <c r="A129" s="13" t="s">
        <v>83</v>
      </c>
      <c r="B129" s="172" t="s">
        <v>281</v>
      </c>
      <c r="C129" s="164"/>
      <c r="D129" s="251"/>
      <c r="E129" s="101"/>
    </row>
    <row r="130" spans="1:5" ht="15.75">
      <c r="A130" s="13" t="s">
        <v>129</v>
      </c>
      <c r="B130" s="61" t="s">
        <v>264</v>
      </c>
      <c r="C130" s="164"/>
      <c r="D130" s="251"/>
      <c r="E130" s="101"/>
    </row>
    <row r="131" spans="1:5" ht="12" customHeight="1">
      <c r="A131" s="13" t="s">
        <v>130</v>
      </c>
      <c r="B131" s="61" t="s">
        <v>280</v>
      </c>
      <c r="C131" s="164"/>
      <c r="D131" s="251"/>
      <c r="E131" s="101"/>
    </row>
    <row r="132" spans="1:5" ht="12" customHeight="1">
      <c r="A132" s="13" t="s">
        <v>131</v>
      </c>
      <c r="B132" s="61" t="s">
        <v>279</v>
      </c>
      <c r="C132" s="164"/>
      <c r="D132" s="251"/>
      <c r="E132" s="101"/>
    </row>
    <row r="133" spans="1:5" ht="12" customHeight="1">
      <c r="A133" s="13" t="s">
        <v>272</v>
      </c>
      <c r="B133" s="61" t="s">
        <v>267</v>
      </c>
      <c r="C133" s="164"/>
      <c r="D133" s="251"/>
      <c r="E133" s="101"/>
    </row>
    <row r="134" spans="1:5" ht="12" customHeight="1">
      <c r="A134" s="13" t="s">
        <v>273</v>
      </c>
      <c r="B134" s="61" t="s">
        <v>278</v>
      </c>
      <c r="C134" s="164">
        <v>600000</v>
      </c>
      <c r="D134" s="251">
        <v>600000</v>
      </c>
      <c r="E134" s="101">
        <v>300000</v>
      </c>
    </row>
    <row r="135" spans="1:5" ht="16.5" thickBot="1">
      <c r="A135" s="11" t="s">
        <v>274</v>
      </c>
      <c r="B135" s="61" t="s">
        <v>277</v>
      </c>
      <c r="C135" s="166"/>
      <c r="D135" s="252"/>
      <c r="E135" s="103"/>
    </row>
    <row r="136" spans="1:5" ht="12" customHeight="1" thickBot="1">
      <c r="A136" s="18" t="s">
        <v>8</v>
      </c>
      <c r="B136" s="56" t="s">
        <v>351</v>
      </c>
      <c r="C136" s="163">
        <f>+C101+C122</f>
        <v>576141046</v>
      </c>
      <c r="D136" s="249">
        <f>+D101+D122</f>
        <v>608025150</v>
      </c>
      <c r="E136" s="100">
        <f>+E101+E122</f>
        <v>257306240</v>
      </c>
    </row>
    <row r="137" spans="1:5" ht="12" customHeight="1" thickBot="1">
      <c r="A137" s="18" t="s">
        <v>9</v>
      </c>
      <c r="B137" s="56" t="s">
        <v>419</v>
      </c>
      <c r="C137" s="163">
        <f>+C138+C139+C140</f>
        <v>0</v>
      </c>
      <c r="D137" s="249">
        <f>+D138+D139+D140</f>
        <v>0</v>
      </c>
      <c r="E137" s="100">
        <f>+E138+E139+E140</f>
        <v>0</v>
      </c>
    </row>
    <row r="138" spans="1:5" ht="12" customHeight="1">
      <c r="A138" s="13" t="s">
        <v>179</v>
      </c>
      <c r="B138" s="10" t="s">
        <v>359</v>
      </c>
      <c r="C138" s="164"/>
      <c r="D138" s="251"/>
      <c r="E138" s="101"/>
    </row>
    <row r="139" spans="1:5" ht="12" customHeight="1">
      <c r="A139" s="13" t="s">
        <v>180</v>
      </c>
      <c r="B139" s="10" t="s">
        <v>360</v>
      </c>
      <c r="C139" s="164"/>
      <c r="D139" s="251"/>
      <c r="E139" s="101"/>
    </row>
    <row r="140" spans="1:5" ht="12" customHeight="1" thickBot="1">
      <c r="A140" s="11" t="s">
        <v>181</v>
      </c>
      <c r="B140" s="10" t="s">
        <v>361</v>
      </c>
      <c r="C140" s="164"/>
      <c r="D140" s="251"/>
      <c r="E140" s="101"/>
    </row>
    <row r="141" spans="1:5" ht="12" customHeight="1" thickBot="1">
      <c r="A141" s="18" t="s">
        <v>10</v>
      </c>
      <c r="B141" s="56" t="s">
        <v>353</v>
      </c>
      <c r="C141" s="163">
        <f>SUM(C142:C147)</f>
        <v>0</v>
      </c>
      <c r="D141" s="249">
        <f>SUM(D142:D147)</f>
        <v>0</v>
      </c>
      <c r="E141" s="100">
        <f>SUM(E142:E147)</f>
        <v>0</v>
      </c>
    </row>
    <row r="142" spans="1:5" ht="12" customHeight="1">
      <c r="A142" s="13" t="s">
        <v>57</v>
      </c>
      <c r="B142" s="7" t="s">
        <v>362</v>
      </c>
      <c r="C142" s="164"/>
      <c r="D142" s="251"/>
      <c r="E142" s="101"/>
    </row>
    <row r="143" spans="1:5" ht="12" customHeight="1">
      <c r="A143" s="13" t="s">
        <v>58</v>
      </c>
      <c r="B143" s="7" t="s">
        <v>354</v>
      </c>
      <c r="C143" s="164"/>
      <c r="D143" s="251"/>
      <c r="E143" s="101"/>
    </row>
    <row r="144" spans="1:5" ht="12" customHeight="1">
      <c r="A144" s="13" t="s">
        <v>59</v>
      </c>
      <c r="B144" s="7" t="s">
        <v>355</v>
      </c>
      <c r="C144" s="164"/>
      <c r="D144" s="251"/>
      <c r="E144" s="101"/>
    </row>
    <row r="145" spans="1:5" ht="12" customHeight="1">
      <c r="A145" s="13" t="s">
        <v>116</v>
      </c>
      <c r="B145" s="7" t="s">
        <v>356</v>
      </c>
      <c r="C145" s="164"/>
      <c r="D145" s="251"/>
      <c r="E145" s="101"/>
    </row>
    <row r="146" spans="1:5" ht="12" customHeight="1">
      <c r="A146" s="13" t="s">
        <v>117</v>
      </c>
      <c r="B146" s="7" t="s">
        <v>357</v>
      </c>
      <c r="C146" s="164"/>
      <c r="D146" s="251"/>
      <c r="E146" s="101"/>
    </row>
    <row r="147" spans="1:5" ht="12" customHeight="1" thickBot="1">
      <c r="A147" s="16" t="s">
        <v>118</v>
      </c>
      <c r="B147" s="337" t="s">
        <v>358</v>
      </c>
      <c r="C147" s="240"/>
      <c r="D147" s="313"/>
      <c r="E147" s="234"/>
    </row>
    <row r="148" spans="1:5" ht="12" customHeight="1" thickBot="1">
      <c r="A148" s="18" t="s">
        <v>11</v>
      </c>
      <c r="B148" s="56" t="s">
        <v>366</v>
      </c>
      <c r="C148" s="169">
        <f>+C149+C150+C151+C152</f>
        <v>6289400</v>
      </c>
      <c r="D148" s="253">
        <f>+D149+D150+D151+D152</f>
        <v>6289400</v>
      </c>
      <c r="E148" s="205">
        <f>+E149+E150+E151+E152</f>
        <v>6289400</v>
      </c>
    </row>
    <row r="149" spans="1:5" ht="12" customHeight="1">
      <c r="A149" s="13" t="s">
        <v>60</v>
      </c>
      <c r="B149" s="7" t="s">
        <v>282</v>
      </c>
      <c r="C149" s="164"/>
      <c r="D149" s="251"/>
      <c r="E149" s="101"/>
    </row>
    <row r="150" spans="1:5" ht="12" customHeight="1">
      <c r="A150" s="13" t="s">
        <v>61</v>
      </c>
      <c r="B150" s="7" t="s">
        <v>283</v>
      </c>
      <c r="C150" s="164">
        <v>6289400</v>
      </c>
      <c r="D150" s="251">
        <v>6289400</v>
      </c>
      <c r="E150" s="101">
        <v>6289400</v>
      </c>
    </row>
    <row r="151" spans="1:5" ht="12" customHeight="1">
      <c r="A151" s="13" t="s">
        <v>199</v>
      </c>
      <c r="B151" s="7" t="s">
        <v>367</v>
      </c>
      <c r="C151" s="164"/>
      <c r="D151" s="251"/>
      <c r="E151" s="101"/>
    </row>
    <row r="152" spans="1:5" ht="12" customHeight="1" thickBot="1">
      <c r="A152" s="11" t="s">
        <v>200</v>
      </c>
      <c r="B152" s="5" t="s">
        <v>299</v>
      </c>
      <c r="C152" s="164"/>
      <c r="D152" s="251"/>
      <c r="E152" s="101"/>
    </row>
    <row r="153" spans="1:5" ht="12" customHeight="1" thickBot="1">
      <c r="A153" s="18" t="s">
        <v>12</v>
      </c>
      <c r="B153" s="56" t="s">
        <v>368</v>
      </c>
      <c r="C153" s="242">
        <f>SUM(C154:C158)</f>
        <v>0</v>
      </c>
      <c r="D153" s="254">
        <f>SUM(D154:D158)</f>
        <v>0</v>
      </c>
      <c r="E153" s="236">
        <f>SUM(E154:E158)</f>
        <v>0</v>
      </c>
    </row>
    <row r="154" spans="1:5" ht="12" customHeight="1">
      <c r="A154" s="13" t="s">
        <v>62</v>
      </c>
      <c r="B154" s="7" t="s">
        <v>363</v>
      </c>
      <c r="C154" s="164"/>
      <c r="D154" s="251"/>
      <c r="E154" s="101"/>
    </row>
    <row r="155" spans="1:5" ht="12" customHeight="1">
      <c r="A155" s="13" t="s">
        <v>63</v>
      </c>
      <c r="B155" s="7" t="s">
        <v>370</v>
      </c>
      <c r="C155" s="164"/>
      <c r="D155" s="251"/>
      <c r="E155" s="101"/>
    </row>
    <row r="156" spans="1:5" ht="12" customHeight="1">
      <c r="A156" s="13" t="s">
        <v>211</v>
      </c>
      <c r="B156" s="7" t="s">
        <v>365</v>
      </c>
      <c r="C156" s="164"/>
      <c r="D156" s="251"/>
      <c r="E156" s="101"/>
    </row>
    <row r="157" spans="1:5" ht="12" customHeight="1">
      <c r="A157" s="13" t="s">
        <v>212</v>
      </c>
      <c r="B157" s="7" t="s">
        <v>371</v>
      </c>
      <c r="C157" s="164"/>
      <c r="D157" s="251"/>
      <c r="E157" s="101"/>
    </row>
    <row r="158" spans="1:5" ht="12" customHeight="1" thickBot="1">
      <c r="A158" s="13" t="s">
        <v>369</v>
      </c>
      <c r="B158" s="7" t="s">
        <v>372</v>
      </c>
      <c r="C158" s="164"/>
      <c r="D158" s="251"/>
      <c r="E158" s="101"/>
    </row>
    <row r="159" spans="1:5" ht="12" customHeight="1" thickBot="1">
      <c r="A159" s="18" t="s">
        <v>13</v>
      </c>
      <c r="B159" s="56" t="s">
        <v>373</v>
      </c>
      <c r="C159" s="243"/>
      <c r="D159" s="255"/>
      <c r="E159" s="237"/>
    </row>
    <row r="160" spans="1:5" ht="12" customHeight="1" thickBot="1">
      <c r="A160" s="18" t="s">
        <v>14</v>
      </c>
      <c r="B160" s="56" t="s">
        <v>374</v>
      </c>
      <c r="C160" s="243"/>
      <c r="D160" s="255"/>
      <c r="E160" s="237"/>
    </row>
    <row r="161" spans="1:9" ht="15" customHeight="1" thickBot="1">
      <c r="A161" s="18" t="s">
        <v>15</v>
      </c>
      <c r="B161" s="56" t="s">
        <v>376</v>
      </c>
      <c r="C161" s="244">
        <f>+C137+C141+C148+C153+C159+C160</f>
        <v>6289400</v>
      </c>
      <c r="D161" s="256">
        <f>+D137+D141+D148+D153+D159+D160</f>
        <v>6289400</v>
      </c>
      <c r="E161" s="238">
        <f>+E137+E141+E148+E153+E159+E160</f>
        <v>6289400</v>
      </c>
      <c r="F161" s="186"/>
      <c r="G161" s="187"/>
      <c r="H161" s="187"/>
      <c r="I161" s="187"/>
    </row>
    <row r="162" spans="1:5" s="175" customFormat="1" ht="12.75" customHeight="1" thickBot="1">
      <c r="A162" s="110" t="s">
        <v>16</v>
      </c>
      <c r="B162" s="150" t="s">
        <v>375</v>
      </c>
      <c r="C162" s="244">
        <f>+C136+C161</f>
        <v>582430446</v>
      </c>
      <c r="D162" s="256">
        <f>+D136+D161</f>
        <v>614314550</v>
      </c>
      <c r="E162" s="238">
        <f>+E136+E161</f>
        <v>263595640</v>
      </c>
    </row>
    <row r="163" spans="3:5" ht="15.75">
      <c r="C163" s="668">
        <f>C94-C162</f>
        <v>0</v>
      </c>
      <c r="D163" s="668">
        <f>D94-D162</f>
        <v>0</v>
      </c>
      <c r="E163" s="690"/>
    </row>
    <row r="164" spans="1:5" ht="15.75">
      <c r="A164" s="822" t="s">
        <v>284</v>
      </c>
      <c r="B164" s="822"/>
      <c r="C164" s="822"/>
      <c r="D164" s="822"/>
      <c r="E164" s="822"/>
    </row>
    <row r="165" spans="1:5" ht="15" customHeight="1" thickBot="1">
      <c r="A165" s="832" t="s">
        <v>104</v>
      </c>
      <c r="B165" s="832"/>
      <c r="C165" s="112"/>
      <c r="E165" s="112" t="str">
        <f>E97</f>
        <v> Forintban!</v>
      </c>
    </row>
    <row r="166" spans="1:5" ht="25.5" customHeight="1" thickBot="1">
      <c r="A166" s="18">
        <v>1</v>
      </c>
      <c r="B166" s="22" t="s">
        <v>377</v>
      </c>
      <c r="C166" s="248">
        <f>+C69-C136</f>
        <v>-354464458</v>
      </c>
      <c r="D166" s="163">
        <f>+D69-D136</f>
        <v>-361616220</v>
      </c>
      <c r="E166" s="100">
        <f>+E69-E136</f>
        <v>-1148727</v>
      </c>
    </row>
    <row r="167" spans="1:5" ht="32.25" customHeight="1" thickBot="1">
      <c r="A167" s="18" t="s">
        <v>7</v>
      </c>
      <c r="B167" s="22" t="s">
        <v>383</v>
      </c>
      <c r="C167" s="163">
        <f>+C93-C161</f>
        <v>354464458</v>
      </c>
      <c r="D167" s="163">
        <f>+D93-D161</f>
        <v>361616220</v>
      </c>
      <c r="E167" s="100">
        <f>+E93-E161</f>
        <v>361616220</v>
      </c>
    </row>
  </sheetData>
  <sheetProtection selectLockedCells="1" selectUnlockedCells="1"/>
  <mergeCells count="16">
    <mergeCell ref="B1:E1"/>
    <mergeCell ref="A2:E2"/>
    <mergeCell ref="A3:E3"/>
    <mergeCell ref="A4:E4"/>
    <mergeCell ref="A165:B165"/>
    <mergeCell ref="A8:A9"/>
    <mergeCell ref="B8:B9"/>
    <mergeCell ref="C8:E8"/>
    <mergeCell ref="A98:A99"/>
    <mergeCell ref="B98:B99"/>
    <mergeCell ref="C98:E98"/>
    <mergeCell ref="A164:E164"/>
    <mergeCell ref="A6:E6"/>
    <mergeCell ref="A96:E96"/>
    <mergeCell ref="A7:B7"/>
    <mergeCell ref="A97:B9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9" max="4" man="1"/>
    <brk id="14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7"/>
  <sheetViews>
    <sheetView zoomScale="120" zoomScaleNormal="120" zoomScaleSheetLayoutView="100" workbookViewId="0" topLeftCell="A1">
      <selection activeCell="A4" sqref="A4:E4"/>
    </sheetView>
  </sheetViews>
  <sheetFormatPr defaultColWidth="9.00390625" defaultRowHeight="12.75"/>
  <cols>
    <col min="1" max="1" width="9.50390625" style="151" customWidth="1"/>
    <col min="2" max="2" width="65.875" style="151" customWidth="1"/>
    <col min="3" max="3" width="17.875" style="152" customWidth="1"/>
    <col min="4" max="5" width="17.875" style="173" customWidth="1"/>
    <col min="6" max="6" width="12.125" style="173" bestFit="1" customWidth="1"/>
    <col min="7" max="16384" width="9.375" style="173" customWidth="1"/>
  </cols>
  <sheetData>
    <row r="1" spans="1:5" ht="15.75">
      <c r="A1" s="338"/>
      <c r="B1" s="827" t="str">
        <f>CONCATENATE("1.2. melléklet ",Z_ALAPADATOK!A7," ",Z_ALAPADATOK!B7," ",Z_ALAPADATOK!C7," ",Z_ALAPADATOK!D7," ",Z_ALAPADATOK!E7," ",Z_ALAPADATOK!F7," ",Z_ALAPADATOK!G7," ",Z_ALAPADATOK!H7)</f>
        <v>1.2. melléklet a 12 / 2020. ( VII.16. ) önkormányzati rendelethez</v>
      </c>
      <c r="C1" s="828"/>
      <c r="D1" s="828"/>
      <c r="E1" s="828"/>
    </row>
    <row r="2" spans="1:5" ht="15.75">
      <c r="A2" s="829" t="str">
        <f>CONCATENATE(Z_ALAPADATOK!A3)</f>
        <v>Szalánta Községi Önkormányzat</v>
      </c>
      <c r="B2" s="830"/>
      <c r="C2" s="830"/>
      <c r="D2" s="830"/>
      <c r="E2" s="830"/>
    </row>
    <row r="3" spans="1:5" ht="15.75">
      <c r="A3" s="829" t="s">
        <v>914</v>
      </c>
      <c r="B3" s="829"/>
      <c r="C3" s="831"/>
      <c r="D3" s="829"/>
      <c r="E3" s="829"/>
    </row>
    <row r="4" spans="1:5" ht="17.25" customHeight="1">
      <c r="A4" s="829" t="s">
        <v>867</v>
      </c>
      <c r="B4" s="829"/>
      <c r="C4" s="831"/>
      <c r="D4" s="829"/>
      <c r="E4" s="829"/>
    </row>
    <row r="5" spans="1:5" ht="15.75">
      <c r="A5" s="338"/>
      <c r="B5" s="338"/>
      <c r="C5" s="339"/>
      <c r="D5" s="340"/>
      <c r="E5" s="340"/>
    </row>
    <row r="6" spans="1:5" ht="15.75" customHeight="1">
      <c r="A6" s="823" t="s">
        <v>3</v>
      </c>
      <c r="B6" s="823"/>
      <c r="C6" s="823"/>
      <c r="D6" s="823"/>
      <c r="E6" s="823"/>
    </row>
    <row r="7" spans="1:5" ht="15.75" customHeight="1" thickBot="1">
      <c r="A7" s="825" t="s">
        <v>102</v>
      </c>
      <c r="B7" s="825"/>
      <c r="C7" s="341"/>
      <c r="D7" s="340"/>
      <c r="E7" s="341" t="str">
        <f>CONCATENATE('Z_1.1.sz.mell.'!E7)</f>
        <v> Forintban!</v>
      </c>
    </row>
    <row r="8" spans="1:5" ht="15.75">
      <c r="A8" s="833" t="s">
        <v>52</v>
      </c>
      <c r="B8" s="835" t="s">
        <v>5</v>
      </c>
      <c r="C8" s="819" t="str">
        <f>+CONCATENATE(LEFT(Z_ÖSSZEFÜGGÉSEK!A6,4),". évi")</f>
        <v>2019. évi</v>
      </c>
      <c r="D8" s="820"/>
      <c r="E8" s="821"/>
    </row>
    <row r="9" spans="1:5" ht="24.75" thickBot="1">
      <c r="A9" s="834"/>
      <c r="B9" s="836"/>
      <c r="C9" s="246" t="s">
        <v>416</v>
      </c>
      <c r="D9" s="245" t="s">
        <v>417</v>
      </c>
      <c r="E9" s="327" t="str">
        <f>CONCATENATE('Z_1.1.sz.mell.'!E9)</f>
        <v>2019. XII. 31.
teljesítés</v>
      </c>
    </row>
    <row r="10" spans="1:5" s="174" customFormat="1" ht="12" customHeight="1" thickBot="1">
      <c r="A10" s="170" t="s">
        <v>387</v>
      </c>
      <c r="B10" s="171" t="s">
        <v>388</v>
      </c>
      <c r="C10" s="171" t="s">
        <v>389</v>
      </c>
      <c r="D10" s="171" t="s">
        <v>391</v>
      </c>
      <c r="E10" s="247" t="s">
        <v>390</v>
      </c>
    </row>
    <row r="11" spans="1:5" s="175" customFormat="1" ht="12" customHeight="1" thickBot="1">
      <c r="A11" s="18" t="s">
        <v>6</v>
      </c>
      <c r="B11" s="19" t="s">
        <v>164</v>
      </c>
      <c r="C11" s="163">
        <f>+C12+C13+C14+C15+C16+C17</f>
        <v>173789722</v>
      </c>
      <c r="D11" s="249">
        <f>+D12+D13+D14+D15+D16+D17</f>
        <v>186371785</v>
      </c>
      <c r="E11" s="100">
        <f>+E12+E13+E14+E15+E16+E17</f>
        <v>186371785</v>
      </c>
    </row>
    <row r="12" spans="1:5" s="175" customFormat="1" ht="12" customHeight="1">
      <c r="A12" s="13" t="s">
        <v>64</v>
      </c>
      <c r="B12" s="176" t="s">
        <v>165</v>
      </c>
      <c r="C12" s="165">
        <v>59002426</v>
      </c>
      <c r="D12" s="250">
        <v>61425576</v>
      </c>
      <c r="E12" s="250">
        <v>61425576</v>
      </c>
    </row>
    <row r="13" spans="1:5" s="175" customFormat="1" ht="12" customHeight="1">
      <c r="A13" s="12" t="s">
        <v>65</v>
      </c>
      <c r="B13" s="177" t="s">
        <v>166</v>
      </c>
      <c r="C13" s="164">
        <v>57190699</v>
      </c>
      <c r="D13" s="251">
        <v>56671559</v>
      </c>
      <c r="E13" s="251">
        <v>56671559</v>
      </c>
    </row>
    <row r="14" spans="1:5" s="175" customFormat="1" ht="12" customHeight="1">
      <c r="A14" s="12" t="s">
        <v>66</v>
      </c>
      <c r="B14" s="177" t="s">
        <v>167</v>
      </c>
      <c r="C14" s="164">
        <v>55796597</v>
      </c>
      <c r="D14" s="251">
        <v>57316990</v>
      </c>
      <c r="E14" s="251">
        <v>57316990</v>
      </c>
    </row>
    <row r="15" spans="1:5" s="175" customFormat="1" ht="12" customHeight="1">
      <c r="A15" s="12" t="s">
        <v>67</v>
      </c>
      <c r="B15" s="177" t="s">
        <v>168</v>
      </c>
      <c r="C15" s="164">
        <v>1800000</v>
      </c>
      <c r="D15" s="251">
        <v>1800000</v>
      </c>
      <c r="E15" s="251">
        <v>1800000</v>
      </c>
    </row>
    <row r="16" spans="1:5" s="175" customFormat="1" ht="12" customHeight="1">
      <c r="A16" s="12" t="s">
        <v>99</v>
      </c>
      <c r="B16" s="108" t="s">
        <v>335</v>
      </c>
      <c r="C16" s="164"/>
      <c r="D16" s="251">
        <v>8967200</v>
      </c>
      <c r="E16" s="251">
        <v>8967200</v>
      </c>
    </row>
    <row r="17" spans="1:5" s="175" customFormat="1" ht="12" customHeight="1" thickBot="1">
      <c r="A17" s="14" t="s">
        <v>68</v>
      </c>
      <c r="B17" s="109" t="s">
        <v>336</v>
      </c>
      <c r="C17" s="164"/>
      <c r="D17" s="251">
        <v>190460</v>
      </c>
      <c r="E17" s="251">
        <v>190460</v>
      </c>
    </row>
    <row r="18" spans="1:5" s="175" customFormat="1" ht="12" customHeight="1" thickBot="1">
      <c r="A18" s="18" t="s">
        <v>7</v>
      </c>
      <c r="B18" s="107" t="s">
        <v>169</v>
      </c>
      <c r="C18" s="163">
        <f>+C19+C20+C21+C22+C23</f>
        <v>15388366</v>
      </c>
      <c r="D18" s="249">
        <f>+D19+D20+D21+D22+D23</f>
        <v>27538645</v>
      </c>
      <c r="E18" s="100">
        <f>+E19+E20+E21+E22+E23</f>
        <v>28240568</v>
      </c>
    </row>
    <row r="19" spans="1:5" s="175" customFormat="1" ht="12" customHeight="1">
      <c r="A19" s="13" t="s">
        <v>70</v>
      </c>
      <c r="B19" s="176" t="s">
        <v>170</v>
      </c>
      <c r="C19" s="165"/>
      <c r="D19" s="250"/>
      <c r="E19" s="102"/>
    </row>
    <row r="20" spans="1:5" s="175" customFormat="1" ht="12" customHeight="1">
      <c r="A20" s="12" t="s">
        <v>71</v>
      </c>
      <c r="B20" s="177" t="s">
        <v>171</v>
      </c>
      <c r="C20" s="164"/>
      <c r="D20" s="251"/>
      <c r="E20" s="101"/>
    </row>
    <row r="21" spans="1:5" s="175" customFormat="1" ht="12" customHeight="1">
      <c r="A21" s="12" t="s">
        <v>72</v>
      </c>
      <c r="B21" s="177" t="s">
        <v>328</v>
      </c>
      <c r="C21" s="164"/>
      <c r="D21" s="251"/>
      <c r="E21" s="101"/>
    </row>
    <row r="22" spans="1:5" s="175" customFormat="1" ht="12" customHeight="1">
      <c r="A22" s="12" t="s">
        <v>73</v>
      </c>
      <c r="B22" s="177" t="s">
        <v>329</v>
      </c>
      <c r="C22" s="164"/>
      <c r="D22" s="251"/>
      <c r="E22" s="101"/>
    </row>
    <row r="23" spans="1:5" s="175" customFormat="1" ht="12" customHeight="1">
      <c r="A23" s="12" t="s">
        <v>74</v>
      </c>
      <c r="B23" s="177" t="s">
        <v>172</v>
      </c>
      <c r="C23" s="164">
        <v>15388366</v>
      </c>
      <c r="D23" s="251">
        <v>27538645</v>
      </c>
      <c r="E23" s="101">
        <v>28240568</v>
      </c>
    </row>
    <row r="24" spans="1:5" s="175" customFormat="1" ht="12" customHeight="1" thickBot="1">
      <c r="A24" s="14" t="s">
        <v>81</v>
      </c>
      <c r="B24" s="109" t="s">
        <v>173</v>
      </c>
      <c r="C24" s="166"/>
      <c r="D24" s="252">
        <v>4000000</v>
      </c>
      <c r="E24" s="103">
        <v>4000000</v>
      </c>
    </row>
    <row r="25" spans="1:5" s="175" customFormat="1" ht="12" customHeight="1" thickBot="1">
      <c r="A25" s="18" t="s">
        <v>8</v>
      </c>
      <c r="B25" s="19" t="s">
        <v>174</v>
      </c>
      <c r="C25" s="163">
        <f>+C26+C27+C28+C29+C30</f>
        <v>0</v>
      </c>
      <c r="D25" s="249">
        <f>+D26+D27+D28+D29+D30</f>
        <v>0</v>
      </c>
      <c r="E25" s="100">
        <f>+E26+E27+E28+E29+E30</f>
        <v>0</v>
      </c>
    </row>
    <row r="26" spans="1:5" s="175" customFormat="1" ht="12" customHeight="1">
      <c r="A26" s="13" t="s">
        <v>53</v>
      </c>
      <c r="B26" s="176" t="s">
        <v>175</v>
      </c>
      <c r="C26" s="165"/>
      <c r="D26" s="250"/>
      <c r="E26" s="102"/>
    </row>
    <row r="27" spans="1:5" s="175" customFormat="1" ht="12" customHeight="1">
      <c r="A27" s="12" t="s">
        <v>54</v>
      </c>
      <c r="B27" s="177" t="s">
        <v>176</v>
      </c>
      <c r="C27" s="164"/>
      <c r="D27" s="251"/>
      <c r="E27" s="101"/>
    </row>
    <row r="28" spans="1:5" s="175" customFormat="1" ht="12" customHeight="1">
      <c r="A28" s="12" t="s">
        <v>55</v>
      </c>
      <c r="B28" s="177" t="s">
        <v>330</v>
      </c>
      <c r="C28" s="164"/>
      <c r="D28" s="251"/>
      <c r="E28" s="101"/>
    </row>
    <row r="29" spans="1:5" s="175" customFormat="1" ht="12" customHeight="1">
      <c r="A29" s="12" t="s">
        <v>56</v>
      </c>
      <c r="B29" s="177" t="s">
        <v>331</v>
      </c>
      <c r="C29" s="164"/>
      <c r="D29" s="251"/>
      <c r="E29" s="101"/>
    </row>
    <row r="30" spans="1:5" s="175" customFormat="1" ht="12" customHeight="1">
      <c r="A30" s="12" t="s">
        <v>112</v>
      </c>
      <c r="B30" s="177" t="s">
        <v>177</v>
      </c>
      <c r="C30" s="164"/>
      <c r="D30" s="251"/>
      <c r="E30" s="101"/>
    </row>
    <row r="31" spans="1:5" s="175" customFormat="1" ht="12" customHeight="1" thickBot="1">
      <c r="A31" s="14" t="s">
        <v>113</v>
      </c>
      <c r="B31" s="178" t="s">
        <v>178</v>
      </c>
      <c r="C31" s="166"/>
      <c r="D31" s="252"/>
      <c r="E31" s="103"/>
    </row>
    <row r="32" spans="1:5" s="175" customFormat="1" ht="12" customHeight="1" thickBot="1">
      <c r="A32" s="18" t="s">
        <v>114</v>
      </c>
      <c r="B32" s="19" t="s">
        <v>481</v>
      </c>
      <c r="C32" s="169">
        <f>SUM(C33:C40)</f>
        <v>23500000</v>
      </c>
      <c r="D32" s="169">
        <f>SUM(D33:D40)</f>
        <v>23500000</v>
      </c>
      <c r="E32" s="205">
        <f>SUM(E33:E40)</f>
        <v>30914145</v>
      </c>
    </row>
    <row r="33" spans="1:5" s="175" customFormat="1" ht="12" customHeight="1">
      <c r="A33" s="13" t="s">
        <v>179</v>
      </c>
      <c r="B33" s="176" t="s">
        <v>482</v>
      </c>
      <c r="C33" s="165"/>
      <c r="D33" s="165"/>
      <c r="E33" s="102"/>
    </row>
    <row r="34" spans="1:5" s="175" customFormat="1" ht="12" customHeight="1">
      <c r="A34" s="13" t="s">
        <v>180</v>
      </c>
      <c r="B34" s="176" t="s">
        <v>878</v>
      </c>
      <c r="C34" s="165">
        <v>2100000</v>
      </c>
      <c r="D34" s="165">
        <v>2100000</v>
      </c>
      <c r="E34" s="102">
        <v>2565863</v>
      </c>
    </row>
    <row r="35" spans="1:5" s="175" customFormat="1" ht="12" customHeight="1">
      <c r="A35" s="12" t="s">
        <v>181</v>
      </c>
      <c r="B35" s="177" t="s">
        <v>883</v>
      </c>
      <c r="C35" s="164"/>
      <c r="D35" s="164"/>
      <c r="E35" s="101"/>
    </row>
    <row r="36" spans="1:5" s="175" customFormat="1" ht="12" customHeight="1">
      <c r="A36" s="12" t="s">
        <v>182</v>
      </c>
      <c r="B36" s="177" t="s">
        <v>483</v>
      </c>
      <c r="C36" s="164">
        <v>17000000</v>
      </c>
      <c r="D36" s="164">
        <v>17000000</v>
      </c>
      <c r="E36" s="101">
        <v>23747296</v>
      </c>
    </row>
    <row r="37" spans="1:5" s="175" customFormat="1" ht="12" customHeight="1">
      <c r="A37" s="12" t="s">
        <v>485</v>
      </c>
      <c r="B37" s="177" t="s">
        <v>484</v>
      </c>
      <c r="C37" s="164"/>
      <c r="D37" s="164"/>
      <c r="E37" s="101"/>
    </row>
    <row r="38" spans="1:5" s="175" customFormat="1" ht="12" customHeight="1">
      <c r="A38" s="12" t="s">
        <v>486</v>
      </c>
      <c r="B38" s="177" t="s">
        <v>183</v>
      </c>
      <c r="C38" s="164">
        <v>4000000</v>
      </c>
      <c r="D38" s="164">
        <v>4000000</v>
      </c>
      <c r="E38" s="101">
        <v>4367476</v>
      </c>
    </row>
    <row r="39" spans="1:5" s="175" customFormat="1" ht="12" customHeight="1">
      <c r="A39" s="12" t="s">
        <v>487</v>
      </c>
      <c r="B39" s="177" t="s">
        <v>184</v>
      </c>
      <c r="C39" s="164"/>
      <c r="D39" s="164"/>
      <c r="E39" s="101"/>
    </row>
    <row r="40" spans="1:5" s="175" customFormat="1" ht="12" customHeight="1" thickBot="1">
      <c r="A40" s="14" t="s">
        <v>881</v>
      </c>
      <c r="B40" s="318" t="s">
        <v>185</v>
      </c>
      <c r="C40" s="166">
        <v>400000</v>
      </c>
      <c r="D40" s="166">
        <v>400000</v>
      </c>
      <c r="E40" s="103">
        <v>233510</v>
      </c>
    </row>
    <row r="41" spans="1:5" s="175" customFormat="1" ht="12" customHeight="1" thickBot="1">
      <c r="A41" s="18" t="s">
        <v>10</v>
      </c>
      <c r="B41" s="19" t="s">
        <v>337</v>
      </c>
      <c r="C41" s="163">
        <f>SUM(C42:C52)</f>
        <v>8598500</v>
      </c>
      <c r="D41" s="249">
        <f>SUM(D42:D52)</f>
        <v>8598500</v>
      </c>
      <c r="E41" s="100">
        <f>SUM(E42:E52)</f>
        <v>10136830</v>
      </c>
    </row>
    <row r="42" spans="1:5" s="175" customFormat="1" ht="12" customHeight="1">
      <c r="A42" s="13" t="s">
        <v>57</v>
      </c>
      <c r="B42" s="176" t="s">
        <v>188</v>
      </c>
      <c r="C42" s="165"/>
      <c r="D42" s="250"/>
      <c r="E42" s="102"/>
    </row>
    <row r="43" spans="1:5" s="175" customFormat="1" ht="12" customHeight="1">
      <c r="A43" s="12" t="s">
        <v>58</v>
      </c>
      <c r="B43" s="177" t="s">
        <v>189</v>
      </c>
      <c r="C43" s="164">
        <v>1170000</v>
      </c>
      <c r="D43" s="164">
        <v>1170000</v>
      </c>
      <c r="E43" s="101">
        <v>1598519</v>
      </c>
    </row>
    <row r="44" spans="1:5" s="175" customFormat="1" ht="12" customHeight="1">
      <c r="A44" s="12" t="s">
        <v>59</v>
      </c>
      <c r="B44" s="177" t="s">
        <v>190</v>
      </c>
      <c r="C44" s="164">
        <v>3930000</v>
      </c>
      <c r="D44" s="164">
        <v>3930000</v>
      </c>
      <c r="E44" s="101">
        <v>3929243</v>
      </c>
    </row>
    <row r="45" spans="1:5" s="175" customFormat="1" ht="12" customHeight="1">
      <c r="A45" s="12" t="s">
        <v>116</v>
      </c>
      <c r="B45" s="177" t="s">
        <v>191</v>
      </c>
      <c r="C45" s="164">
        <v>2000000</v>
      </c>
      <c r="D45" s="164">
        <v>2000000</v>
      </c>
      <c r="E45" s="101">
        <v>2574607</v>
      </c>
    </row>
    <row r="46" spans="1:5" s="175" customFormat="1" ht="12" customHeight="1">
      <c r="A46" s="12" t="s">
        <v>117</v>
      </c>
      <c r="B46" s="177" t="s">
        <v>192</v>
      </c>
      <c r="C46" s="164"/>
      <c r="D46" s="164"/>
      <c r="E46" s="101"/>
    </row>
    <row r="47" spans="1:5" s="175" customFormat="1" ht="12" customHeight="1">
      <c r="A47" s="12" t="s">
        <v>118</v>
      </c>
      <c r="B47" s="177" t="s">
        <v>193</v>
      </c>
      <c r="C47" s="164">
        <v>1498500</v>
      </c>
      <c r="D47" s="164">
        <v>1498500</v>
      </c>
      <c r="E47" s="101">
        <v>1687377</v>
      </c>
    </row>
    <row r="48" spans="1:5" s="175" customFormat="1" ht="12" customHeight="1">
      <c r="A48" s="12" t="s">
        <v>119</v>
      </c>
      <c r="B48" s="177" t="s">
        <v>194</v>
      </c>
      <c r="C48" s="164"/>
      <c r="D48" s="251"/>
      <c r="E48" s="101"/>
    </row>
    <row r="49" spans="1:5" s="175" customFormat="1" ht="12" customHeight="1">
      <c r="A49" s="12" t="s">
        <v>120</v>
      </c>
      <c r="B49" s="177" t="s">
        <v>488</v>
      </c>
      <c r="C49" s="164"/>
      <c r="D49" s="251"/>
      <c r="E49" s="101">
        <v>45</v>
      </c>
    </row>
    <row r="50" spans="1:5" s="175" customFormat="1" ht="12" customHeight="1">
      <c r="A50" s="12" t="s">
        <v>186</v>
      </c>
      <c r="B50" s="177" t="s">
        <v>196</v>
      </c>
      <c r="C50" s="167"/>
      <c r="D50" s="307"/>
      <c r="E50" s="104"/>
    </row>
    <row r="51" spans="1:5" s="175" customFormat="1" ht="12" customHeight="1">
      <c r="A51" s="14" t="s">
        <v>187</v>
      </c>
      <c r="B51" s="178" t="s">
        <v>339</v>
      </c>
      <c r="C51" s="168"/>
      <c r="D51" s="308"/>
      <c r="E51" s="105"/>
    </row>
    <row r="52" spans="1:5" s="175" customFormat="1" ht="12" customHeight="1" thickBot="1">
      <c r="A52" s="14" t="s">
        <v>338</v>
      </c>
      <c r="B52" s="109" t="s">
        <v>197</v>
      </c>
      <c r="C52" s="168"/>
      <c r="D52" s="308"/>
      <c r="E52" s="105">
        <v>347039</v>
      </c>
    </row>
    <row r="53" spans="1:5" s="175" customFormat="1" ht="12" customHeight="1" thickBot="1">
      <c r="A53" s="18" t="s">
        <v>11</v>
      </c>
      <c r="B53" s="19" t="s">
        <v>198</v>
      </c>
      <c r="C53" s="163">
        <f>SUM(C54:C58)</f>
        <v>0</v>
      </c>
      <c r="D53" s="249">
        <f>SUM(D54:D58)</f>
        <v>0</v>
      </c>
      <c r="E53" s="100">
        <f>SUM(E54:E58)</f>
        <v>236472</v>
      </c>
    </row>
    <row r="54" spans="1:5" s="175" customFormat="1" ht="12" customHeight="1">
      <c r="A54" s="13" t="s">
        <v>60</v>
      </c>
      <c r="B54" s="176" t="s">
        <v>202</v>
      </c>
      <c r="C54" s="216"/>
      <c r="D54" s="309"/>
      <c r="E54" s="106"/>
    </row>
    <row r="55" spans="1:5" s="175" customFormat="1" ht="12" customHeight="1">
      <c r="A55" s="12" t="s">
        <v>61</v>
      </c>
      <c r="B55" s="177" t="s">
        <v>203</v>
      </c>
      <c r="C55" s="167"/>
      <c r="D55" s="307"/>
      <c r="E55" s="104"/>
    </row>
    <row r="56" spans="1:5" s="175" customFormat="1" ht="12" customHeight="1">
      <c r="A56" s="12" t="s">
        <v>199</v>
      </c>
      <c r="B56" s="177" t="s">
        <v>204</v>
      </c>
      <c r="C56" s="167"/>
      <c r="D56" s="307"/>
      <c r="E56" s="104">
        <v>236472</v>
      </c>
    </row>
    <row r="57" spans="1:5" s="175" customFormat="1" ht="12" customHeight="1">
      <c r="A57" s="12" t="s">
        <v>200</v>
      </c>
      <c r="B57" s="177" t="s">
        <v>205</v>
      </c>
      <c r="C57" s="167"/>
      <c r="D57" s="307"/>
      <c r="E57" s="104"/>
    </row>
    <row r="58" spans="1:5" s="175" customFormat="1" ht="12" customHeight="1" thickBot="1">
      <c r="A58" s="14" t="s">
        <v>201</v>
      </c>
      <c r="B58" s="109" t="s">
        <v>206</v>
      </c>
      <c r="C58" s="168"/>
      <c r="D58" s="308"/>
      <c r="E58" s="105"/>
    </row>
    <row r="59" spans="1:5" s="175" customFormat="1" ht="12" customHeight="1" thickBot="1">
      <c r="A59" s="18" t="s">
        <v>121</v>
      </c>
      <c r="B59" s="19" t="s">
        <v>207</v>
      </c>
      <c r="C59" s="163">
        <f>SUM(C60:C62)</f>
        <v>400000</v>
      </c>
      <c r="D59" s="249">
        <f>SUM(D60:D62)</f>
        <v>400000</v>
      </c>
      <c r="E59" s="100">
        <f>SUM(E60:E62)</f>
        <v>257713</v>
      </c>
    </row>
    <row r="60" spans="1:5" s="175" customFormat="1" ht="12" customHeight="1">
      <c r="A60" s="13" t="s">
        <v>62</v>
      </c>
      <c r="B60" s="176" t="s">
        <v>208</v>
      </c>
      <c r="C60" s="165"/>
      <c r="D60" s="250"/>
      <c r="E60" s="102"/>
    </row>
    <row r="61" spans="1:5" s="175" customFormat="1" ht="12" customHeight="1">
      <c r="A61" s="12" t="s">
        <v>63</v>
      </c>
      <c r="B61" s="177" t="s">
        <v>332</v>
      </c>
      <c r="C61" s="164">
        <v>400000</v>
      </c>
      <c r="D61" s="251">
        <v>400000</v>
      </c>
      <c r="E61" s="101">
        <v>203000</v>
      </c>
    </row>
    <row r="62" spans="1:5" s="175" customFormat="1" ht="12" customHeight="1">
      <c r="A62" s="12" t="s">
        <v>211</v>
      </c>
      <c r="B62" s="177" t="s">
        <v>209</v>
      </c>
      <c r="C62" s="164"/>
      <c r="D62" s="251"/>
      <c r="E62" s="101">
        <v>54713</v>
      </c>
    </row>
    <row r="63" spans="1:5" s="175" customFormat="1" ht="12" customHeight="1" thickBot="1">
      <c r="A63" s="14" t="s">
        <v>212</v>
      </c>
      <c r="B63" s="109" t="s">
        <v>210</v>
      </c>
      <c r="C63" s="166"/>
      <c r="D63" s="252"/>
      <c r="E63" s="103"/>
    </row>
    <row r="64" spans="1:5" s="175" customFormat="1" ht="12" customHeight="1" thickBot="1">
      <c r="A64" s="18" t="s">
        <v>13</v>
      </c>
      <c r="B64" s="107" t="s">
        <v>213</v>
      </c>
      <c r="C64" s="163">
        <f>SUM(C65:C67)</f>
        <v>0</v>
      </c>
      <c r="D64" s="249">
        <f>SUM(D65:D67)</f>
        <v>0</v>
      </c>
      <c r="E64" s="100">
        <f>SUM(E65:E67)</f>
        <v>0</v>
      </c>
    </row>
    <row r="65" spans="1:5" s="175" customFormat="1" ht="12" customHeight="1">
      <c r="A65" s="13" t="s">
        <v>122</v>
      </c>
      <c r="B65" s="176" t="s">
        <v>215</v>
      </c>
      <c r="C65" s="167"/>
      <c r="D65" s="307"/>
      <c r="E65" s="104"/>
    </row>
    <row r="66" spans="1:5" s="175" customFormat="1" ht="12" customHeight="1">
      <c r="A66" s="12" t="s">
        <v>123</v>
      </c>
      <c r="B66" s="177" t="s">
        <v>333</v>
      </c>
      <c r="C66" s="167"/>
      <c r="D66" s="307"/>
      <c r="E66" s="104"/>
    </row>
    <row r="67" spans="1:5" s="175" customFormat="1" ht="12" customHeight="1">
      <c r="A67" s="12" t="s">
        <v>146</v>
      </c>
      <c r="B67" s="177" t="s">
        <v>216</v>
      </c>
      <c r="C67" s="167"/>
      <c r="D67" s="307"/>
      <c r="E67" s="104"/>
    </row>
    <row r="68" spans="1:5" s="175" customFormat="1" ht="12" customHeight="1" thickBot="1">
      <c r="A68" s="14" t="s">
        <v>214</v>
      </c>
      <c r="B68" s="109" t="s">
        <v>217</v>
      </c>
      <c r="C68" s="167"/>
      <c r="D68" s="307"/>
      <c r="E68" s="104"/>
    </row>
    <row r="69" spans="1:5" s="175" customFormat="1" ht="12" customHeight="1" thickBot="1">
      <c r="A69" s="229" t="s">
        <v>379</v>
      </c>
      <c r="B69" s="19" t="s">
        <v>218</v>
      </c>
      <c r="C69" s="169">
        <f>+C11+C18+C25+C32+C41+C53+C59+C64</f>
        <v>221676588</v>
      </c>
      <c r="D69" s="253">
        <f>+D11+D18+D25+D32+D41+D53+D59+D64</f>
        <v>246408930</v>
      </c>
      <c r="E69" s="205">
        <f>+E11+E18+E25+E32+E41+E53+E59+E64</f>
        <v>256157513</v>
      </c>
    </row>
    <row r="70" spans="1:5" s="175" customFormat="1" ht="12" customHeight="1" thickBot="1">
      <c r="A70" s="217" t="s">
        <v>219</v>
      </c>
      <c r="B70" s="107" t="s">
        <v>220</v>
      </c>
      <c r="C70" s="163">
        <f>SUM(C71:C73)</f>
        <v>0</v>
      </c>
      <c r="D70" s="249">
        <f>SUM(D71:D73)</f>
        <v>0</v>
      </c>
      <c r="E70" s="100">
        <f>SUM(E71:E73)</f>
        <v>0</v>
      </c>
    </row>
    <row r="71" spans="1:5" s="175" customFormat="1" ht="12" customHeight="1">
      <c r="A71" s="13" t="s">
        <v>248</v>
      </c>
      <c r="B71" s="176" t="s">
        <v>221</v>
      </c>
      <c r="C71" s="167"/>
      <c r="D71" s="307"/>
      <c r="E71" s="104"/>
    </row>
    <row r="72" spans="1:5" s="175" customFormat="1" ht="12" customHeight="1">
      <c r="A72" s="12" t="s">
        <v>257</v>
      </c>
      <c r="B72" s="177" t="s">
        <v>222</v>
      </c>
      <c r="C72" s="167"/>
      <c r="D72" s="307"/>
      <c r="E72" s="104"/>
    </row>
    <row r="73" spans="1:5" s="175" customFormat="1" ht="12" customHeight="1" thickBot="1">
      <c r="A73" s="14" t="s">
        <v>258</v>
      </c>
      <c r="B73" s="225" t="s">
        <v>364</v>
      </c>
      <c r="C73" s="343"/>
      <c r="D73" s="310"/>
      <c r="E73" s="344"/>
    </row>
    <row r="74" spans="1:5" s="175" customFormat="1" ht="12" customHeight="1" thickBot="1">
      <c r="A74" s="217" t="s">
        <v>224</v>
      </c>
      <c r="B74" s="107" t="s">
        <v>225</v>
      </c>
      <c r="C74" s="163">
        <f>SUM(C75:C78)</f>
        <v>0</v>
      </c>
      <c r="D74" s="163">
        <f>SUM(D75:D78)</f>
        <v>0</v>
      </c>
      <c r="E74" s="100">
        <f>SUM(E75:E78)</f>
        <v>0</v>
      </c>
    </row>
    <row r="75" spans="1:5" s="175" customFormat="1" ht="12" customHeight="1">
      <c r="A75" s="13" t="s">
        <v>100</v>
      </c>
      <c r="B75" s="325" t="s">
        <v>226</v>
      </c>
      <c r="C75" s="167"/>
      <c r="D75" s="167"/>
      <c r="E75" s="104"/>
    </row>
    <row r="76" spans="1:5" s="175" customFormat="1" ht="12" customHeight="1">
      <c r="A76" s="12" t="s">
        <v>101</v>
      </c>
      <c r="B76" s="325" t="s">
        <v>495</v>
      </c>
      <c r="C76" s="167"/>
      <c r="D76" s="167"/>
      <c r="E76" s="104"/>
    </row>
    <row r="77" spans="1:5" s="175" customFormat="1" ht="12" customHeight="1">
      <c r="A77" s="12" t="s">
        <v>249</v>
      </c>
      <c r="B77" s="325" t="s">
        <v>227</v>
      </c>
      <c r="C77" s="167"/>
      <c r="D77" s="167"/>
      <c r="E77" s="104"/>
    </row>
    <row r="78" spans="1:5" s="175" customFormat="1" ht="12" customHeight="1" thickBot="1">
      <c r="A78" s="14" t="s">
        <v>250</v>
      </c>
      <c r="B78" s="326" t="s">
        <v>496</v>
      </c>
      <c r="C78" s="167"/>
      <c r="D78" s="167"/>
      <c r="E78" s="104"/>
    </row>
    <row r="79" spans="1:5" s="175" customFormat="1" ht="12" customHeight="1" thickBot="1">
      <c r="A79" s="217" t="s">
        <v>228</v>
      </c>
      <c r="B79" s="107" t="s">
        <v>229</v>
      </c>
      <c r="C79" s="163">
        <f>SUM(C80:C81)</f>
        <v>360753858</v>
      </c>
      <c r="D79" s="163">
        <f>SUM(D80:D81)</f>
        <v>360753858</v>
      </c>
      <c r="E79" s="100">
        <f>SUM(E80:E81)</f>
        <v>360753858</v>
      </c>
    </row>
    <row r="80" spans="1:5" s="175" customFormat="1" ht="12" customHeight="1">
      <c r="A80" s="13" t="s">
        <v>251</v>
      </c>
      <c r="B80" s="176" t="s">
        <v>230</v>
      </c>
      <c r="C80" s="167">
        <v>360753858</v>
      </c>
      <c r="D80" s="167">
        <v>360753858</v>
      </c>
      <c r="E80" s="104">
        <v>360753858</v>
      </c>
    </row>
    <row r="81" spans="1:5" s="175" customFormat="1" ht="12" customHeight="1" thickBot="1">
      <c r="A81" s="14" t="s">
        <v>252</v>
      </c>
      <c r="B81" s="109" t="s">
        <v>231</v>
      </c>
      <c r="C81" s="167"/>
      <c r="D81" s="167"/>
      <c r="E81" s="104"/>
    </row>
    <row r="82" spans="1:5" s="175" customFormat="1" ht="12" customHeight="1" thickBot="1">
      <c r="A82" s="217" t="s">
        <v>232</v>
      </c>
      <c r="B82" s="107" t="s">
        <v>233</v>
      </c>
      <c r="C82" s="163">
        <f>SUM(C83:C85)</f>
        <v>0</v>
      </c>
      <c r="D82" s="163">
        <f>SUM(D83:D85)</f>
        <v>7151762</v>
      </c>
      <c r="E82" s="100">
        <f>SUM(E83:E85)</f>
        <v>7151762</v>
      </c>
    </row>
    <row r="83" spans="1:5" s="175" customFormat="1" ht="12" customHeight="1">
      <c r="A83" s="13" t="s">
        <v>253</v>
      </c>
      <c r="B83" s="176" t="s">
        <v>234</v>
      </c>
      <c r="C83" s="167"/>
      <c r="D83" s="167">
        <v>7151762</v>
      </c>
      <c r="E83" s="104">
        <v>7151762</v>
      </c>
    </row>
    <row r="84" spans="1:5" s="175" customFormat="1" ht="12" customHeight="1">
      <c r="A84" s="12" t="s">
        <v>254</v>
      </c>
      <c r="B84" s="177" t="s">
        <v>235</v>
      </c>
      <c r="C84" s="167"/>
      <c r="D84" s="167"/>
      <c r="E84" s="104"/>
    </row>
    <row r="85" spans="1:5" s="175" customFormat="1" ht="12" customHeight="1" thickBot="1">
      <c r="A85" s="14" t="s">
        <v>255</v>
      </c>
      <c r="B85" s="109" t="s">
        <v>497</v>
      </c>
      <c r="C85" s="167"/>
      <c r="D85" s="167"/>
      <c r="E85" s="104"/>
    </row>
    <row r="86" spans="1:5" s="175" customFormat="1" ht="12" customHeight="1" thickBot="1">
      <c r="A86" s="217" t="s">
        <v>236</v>
      </c>
      <c r="B86" s="107" t="s">
        <v>256</v>
      </c>
      <c r="C86" s="163">
        <f>SUM(C87:C90)</f>
        <v>0</v>
      </c>
      <c r="D86" s="163">
        <f>SUM(D87:D90)</f>
        <v>0</v>
      </c>
      <c r="E86" s="100">
        <f>SUM(E87:E90)</f>
        <v>0</v>
      </c>
    </row>
    <row r="87" spans="1:5" s="175" customFormat="1" ht="12" customHeight="1">
      <c r="A87" s="180" t="s">
        <v>237</v>
      </c>
      <c r="B87" s="176" t="s">
        <v>238</v>
      </c>
      <c r="C87" s="167"/>
      <c r="D87" s="167"/>
      <c r="E87" s="104"/>
    </row>
    <row r="88" spans="1:5" s="175" customFormat="1" ht="12" customHeight="1">
      <c r="A88" s="181" t="s">
        <v>239</v>
      </c>
      <c r="B88" s="177" t="s">
        <v>240</v>
      </c>
      <c r="C88" s="167"/>
      <c r="D88" s="167"/>
      <c r="E88" s="104"/>
    </row>
    <row r="89" spans="1:5" s="175" customFormat="1" ht="12" customHeight="1">
      <c r="A89" s="181" t="s">
        <v>241</v>
      </c>
      <c r="B89" s="177" t="s">
        <v>242</v>
      </c>
      <c r="C89" s="167"/>
      <c r="D89" s="167"/>
      <c r="E89" s="104"/>
    </row>
    <row r="90" spans="1:5" s="175" customFormat="1" ht="12" customHeight="1" thickBot="1">
      <c r="A90" s="182" t="s">
        <v>243</v>
      </c>
      <c r="B90" s="109" t="s">
        <v>244</v>
      </c>
      <c r="C90" s="167"/>
      <c r="D90" s="167"/>
      <c r="E90" s="104"/>
    </row>
    <row r="91" spans="1:5" s="175" customFormat="1" ht="12" customHeight="1" thickBot="1">
      <c r="A91" s="217" t="s">
        <v>245</v>
      </c>
      <c r="B91" s="107" t="s">
        <v>378</v>
      </c>
      <c r="C91" s="219"/>
      <c r="D91" s="219"/>
      <c r="E91" s="220"/>
    </row>
    <row r="92" spans="1:5" s="175" customFormat="1" ht="13.5" customHeight="1" thickBot="1">
      <c r="A92" s="217" t="s">
        <v>247</v>
      </c>
      <c r="B92" s="107" t="s">
        <v>246</v>
      </c>
      <c r="C92" s="219"/>
      <c r="D92" s="219"/>
      <c r="E92" s="220"/>
    </row>
    <row r="93" spans="1:5" s="175" customFormat="1" ht="15.75" customHeight="1" thickBot="1">
      <c r="A93" s="217" t="s">
        <v>259</v>
      </c>
      <c r="B93" s="183" t="s">
        <v>381</v>
      </c>
      <c r="C93" s="169">
        <f>+C70+C74+C79+C82+C86+C92+C91</f>
        <v>360753858</v>
      </c>
      <c r="D93" s="169">
        <f>+D70+D74+D79+D82+D86+D92+D91</f>
        <v>367905620</v>
      </c>
      <c r="E93" s="205">
        <f>+E70+E74+E79+E82+E86+E92+E91</f>
        <v>367905620</v>
      </c>
    </row>
    <row r="94" spans="1:5" s="175" customFormat="1" ht="25.5" customHeight="1" thickBot="1">
      <c r="A94" s="218" t="s">
        <v>380</v>
      </c>
      <c r="B94" s="184" t="s">
        <v>382</v>
      </c>
      <c r="C94" s="169">
        <f>+C69+C93</f>
        <v>582430446</v>
      </c>
      <c r="D94" s="169">
        <f>+D69+D93</f>
        <v>614314550</v>
      </c>
      <c r="E94" s="205">
        <f>+E69+E93</f>
        <v>624063133</v>
      </c>
    </row>
    <row r="95" spans="1:3" s="175" customFormat="1" ht="15" customHeight="1">
      <c r="A95" s="3"/>
      <c r="B95" s="4"/>
      <c r="C95" s="111"/>
    </row>
    <row r="96" spans="1:5" ht="16.5" customHeight="1">
      <c r="A96" s="824" t="s">
        <v>34</v>
      </c>
      <c r="B96" s="824"/>
      <c r="C96" s="824"/>
      <c r="D96" s="824"/>
      <c r="E96" s="824"/>
    </row>
    <row r="97" spans="1:5" s="185" customFormat="1" ht="16.5" customHeight="1" thickBot="1">
      <c r="A97" s="826" t="s">
        <v>103</v>
      </c>
      <c r="B97" s="826"/>
      <c r="C97" s="58"/>
      <c r="E97" s="58" t="str">
        <f>E7</f>
        <v> Forintban!</v>
      </c>
    </row>
    <row r="98" spans="1:5" ht="15.75">
      <c r="A98" s="833" t="s">
        <v>52</v>
      </c>
      <c r="B98" s="835" t="s">
        <v>418</v>
      </c>
      <c r="C98" s="819" t="str">
        <f>+CONCATENATE(LEFT(Z_ÖSSZEFÜGGÉSEK!A6,4),". évi")</f>
        <v>2019. évi</v>
      </c>
      <c r="D98" s="820"/>
      <c r="E98" s="821"/>
    </row>
    <row r="99" spans="1:5" ht="24.75" thickBot="1">
      <c r="A99" s="834"/>
      <c r="B99" s="836"/>
      <c r="C99" s="246" t="s">
        <v>416</v>
      </c>
      <c r="D99" s="245" t="s">
        <v>417</v>
      </c>
      <c r="E99" s="327" t="str">
        <f>CONCATENATE(E9)</f>
        <v>2019. XII. 31.
teljesítés</v>
      </c>
    </row>
    <row r="100" spans="1:5" s="174" customFormat="1" ht="12" customHeight="1" thickBot="1">
      <c r="A100" s="24" t="s">
        <v>387</v>
      </c>
      <c r="B100" s="25" t="s">
        <v>388</v>
      </c>
      <c r="C100" s="25" t="s">
        <v>389</v>
      </c>
      <c r="D100" s="25" t="s">
        <v>391</v>
      </c>
      <c r="E100" s="257" t="s">
        <v>390</v>
      </c>
    </row>
    <row r="101" spans="1:5" ht="12" customHeight="1" thickBot="1">
      <c r="A101" s="20" t="s">
        <v>6</v>
      </c>
      <c r="B101" s="23" t="s">
        <v>340</v>
      </c>
      <c r="C101" s="162">
        <f>C102+C103+C104+C105+C106+C119</f>
        <v>348020046</v>
      </c>
      <c r="D101" s="162">
        <f>D102+D103+D104+D105+D106+D119</f>
        <v>598382150</v>
      </c>
      <c r="E101" s="232">
        <f>E102+E103+E104+E105+E106+E119</f>
        <v>248294721</v>
      </c>
    </row>
    <row r="102" spans="1:5" ht="12" customHeight="1">
      <c r="A102" s="15" t="s">
        <v>64</v>
      </c>
      <c r="B102" s="8" t="s">
        <v>35</v>
      </c>
      <c r="C102" s="239">
        <v>68910000</v>
      </c>
      <c r="D102" s="239">
        <v>76956000</v>
      </c>
      <c r="E102" s="233">
        <v>76233998</v>
      </c>
    </row>
    <row r="103" spans="1:5" ht="12" customHeight="1">
      <c r="A103" s="12" t="s">
        <v>65</v>
      </c>
      <c r="B103" s="6" t="s">
        <v>124</v>
      </c>
      <c r="C103" s="164">
        <v>12590000</v>
      </c>
      <c r="D103" s="164">
        <v>13650000</v>
      </c>
      <c r="E103" s="101">
        <v>13310321</v>
      </c>
    </row>
    <row r="104" spans="1:5" ht="12" customHeight="1">
      <c r="A104" s="12" t="s">
        <v>66</v>
      </c>
      <c r="B104" s="6" t="s">
        <v>92</v>
      </c>
      <c r="C104" s="166">
        <v>46542239</v>
      </c>
      <c r="D104" s="166">
        <v>52582150</v>
      </c>
      <c r="E104" s="103">
        <v>47048175</v>
      </c>
    </row>
    <row r="105" spans="1:5" ht="12" customHeight="1">
      <c r="A105" s="12" t="s">
        <v>67</v>
      </c>
      <c r="B105" s="9" t="s">
        <v>125</v>
      </c>
      <c r="C105" s="166">
        <v>3450000</v>
      </c>
      <c r="D105" s="166">
        <v>3450000</v>
      </c>
      <c r="E105" s="103">
        <v>2908500</v>
      </c>
    </row>
    <row r="106" spans="1:5" ht="12" customHeight="1">
      <c r="A106" s="12" t="s">
        <v>76</v>
      </c>
      <c r="B106" s="17" t="s">
        <v>126</v>
      </c>
      <c r="C106" s="166">
        <f>111841846-1630000</f>
        <v>110211846</v>
      </c>
      <c r="D106" s="166">
        <f>111005000-1680000</f>
        <v>109325000</v>
      </c>
      <c r="E106" s="103">
        <f>110463727-1670000</f>
        <v>108793727</v>
      </c>
    </row>
    <row r="107" spans="1:5" ht="12" customHeight="1">
      <c r="A107" s="12" t="s">
        <v>68</v>
      </c>
      <c r="B107" s="6" t="s">
        <v>345</v>
      </c>
      <c r="C107" s="166"/>
      <c r="D107" s="166"/>
      <c r="E107" s="103"/>
    </row>
    <row r="108" spans="1:5" ht="12" customHeight="1">
      <c r="A108" s="12" t="s">
        <v>69</v>
      </c>
      <c r="B108" s="62" t="s">
        <v>344</v>
      </c>
      <c r="C108" s="166"/>
      <c r="D108" s="166"/>
      <c r="E108" s="103"/>
    </row>
    <row r="109" spans="1:5" ht="12" customHeight="1">
      <c r="A109" s="12" t="s">
        <v>77</v>
      </c>
      <c r="B109" s="62" t="s">
        <v>343</v>
      </c>
      <c r="C109" s="166"/>
      <c r="D109" s="166"/>
      <c r="E109" s="103"/>
    </row>
    <row r="110" spans="1:5" ht="12" customHeight="1">
      <c r="A110" s="12" t="s">
        <v>78</v>
      </c>
      <c r="B110" s="60" t="s">
        <v>262</v>
      </c>
      <c r="C110" s="166"/>
      <c r="D110" s="166"/>
      <c r="E110" s="103"/>
    </row>
    <row r="111" spans="1:5" ht="12" customHeight="1">
      <c r="A111" s="12" t="s">
        <v>79</v>
      </c>
      <c r="B111" s="61" t="s">
        <v>263</v>
      </c>
      <c r="C111" s="166"/>
      <c r="D111" s="166"/>
      <c r="E111" s="103"/>
    </row>
    <row r="112" spans="1:5" ht="12" customHeight="1">
      <c r="A112" s="12" t="s">
        <v>80</v>
      </c>
      <c r="B112" s="61" t="s">
        <v>264</v>
      </c>
      <c r="C112" s="166"/>
      <c r="D112" s="166"/>
      <c r="E112" s="103"/>
    </row>
    <row r="113" spans="1:5" ht="12" customHeight="1">
      <c r="A113" s="12" t="s">
        <v>82</v>
      </c>
      <c r="B113" s="60" t="s">
        <v>265</v>
      </c>
      <c r="C113" s="166">
        <v>109221846</v>
      </c>
      <c r="D113" s="166">
        <v>108685000</v>
      </c>
      <c r="E113" s="103">
        <v>108154226</v>
      </c>
    </row>
    <row r="114" spans="1:5" ht="12" customHeight="1">
      <c r="A114" s="12" t="s">
        <v>127</v>
      </c>
      <c r="B114" s="60" t="s">
        <v>266</v>
      </c>
      <c r="C114" s="166"/>
      <c r="D114" s="166"/>
      <c r="E114" s="103"/>
    </row>
    <row r="115" spans="1:5" ht="12" customHeight="1">
      <c r="A115" s="12" t="s">
        <v>260</v>
      </c>
      <c r="B115" s="61" t="s">
        <v>267</v>
      </c>
      <c r="C115" s="166">
        <v>400000</v>
      </c>
      <c r="D115" s="166">
        <v>50000</v>
      </c>
      <c r="E115" s="103">
        <v>50000</v>
      </c>
    </row>
    <row r="116" spans="1:5" ht="12" customHeight="1">
      <c r="A116" s="11" t="s">
        <v>261</v>
      </c>
      <c r="B116" s="62" t="s">
        <v>268</v>
      </c>
      <c r="C116" s="166"/>
      <c r="D116" s="166"/>
      <c r="E116" s="103"/>
    </row>
    <row r="117" spans="1:5" ht="12" customHeight="1">
      <c r="A117" s="12" t="s">
        <v>341</v>
      </c>
      <c r="B117" s="62" t="s">
        <v>269</v>
      </c>
      <c r="C117" s="166"/>
      <c r="D117" s="166"/>
      <c r="E117" s="103"/>
    </row>
    <row r="118" spans="1:5" ht="12" customHeight="1">
      <c r="A118" s="14" t="s">
        <v>342</v>
      </c>
      <c r="B118" s="62" t="s">
        <v>270</v>
      </c>
      <c r="C118" s="166">
        <v>590000</v>
      </c>
      <c r="D118" s="166">
        <v>590000</v>
      </c>
      <c r="E118" s="103">
        <v>589501</v>
      </c>
    </row>
    <row r="119" spans="1:5" ht="12" customHeight="1">
      <c r="A119" s="12" t="s">
        <v>346</v>
      </c>
      <c r="B119" s="9" t="s">
        <v>36</v>
      </c>
      <c r="C119" s="164">
        <v>106315961</v>
      </c>
      <c r="D119" s="164">
        <v>342419000</v>
      </c>
      <c r="E119" s="101"/>
    </row>
    <row r="120" spans="1:6" ht="12" customHeight="1">
      <c r="A120" s="12" t="s">
        <v>347</v>
      </c>
      <c r="B120" s="6" t="s">
        <v>349</v>
      </c>
      <c r="C120" s="164">
        <v>106315961</v>
      </c>
      <c r="D120" s="164">
        <v>342419000</v>
      </c>
      <c r="E120" s="101"/>
      <c r="F120" s="690"/>
    </row>
    <row r="121" spans="1:5" ht="12" customHeight="1" thickBot="1">
      <c r="A121" s="16" t="s">
        <v>348</v>
      </c>
      <c r="B121" s="228" t="s">
        <v>350</v>
      </c>
      <c r="C121" s="240"/>
      <c r="D121" s="240"/>
      <c r="E121" s="234"/>
    </row>
    <row r="122" spans="1:5" ht="12" customHeight="1" thickBot="1">
      <c r="A122" s="226" t="s">
        <v>7</v>
      </c>
      <c r="B122" s="227" t="s">
        <v>271</v>
      </c>
      <c r="C122" s="241">
        <f>+C123+C125+C127</f>
        <v>226491000</v>
      </c>
      <c r="D122" s="163">
        <f>+D123+D125+D127</f>
        <v>7963000</v>
      </c>
      <c r="E122" s="235">
        <f>+E123+E125+E127</f>
        <v>7341519</v>
      </c>
    </row>
    <row r="123" spans="1:5" ht="12" customHeight="1">
      <c r="A123" s="13" t="s">
        <v>70</v>
      </c>
      <c r="B123" s="6" t="s">
        <v>145</v>
      </c>
      <c r="C123" s="165">
        <v>219541000</v>
      </c>
      <c r="D123" s="250">
        <v>1613000</v>
      </c>
      <c r="E123" s="102">
        <v>1403476</v>
      </c>
    </row>
    <row r="124" spans="1:5" ht="12" customHeight="1">
      <c r="A124" s="13" t="s">
        <v>71</v>
      </c>
      <c r="B124" s="10" t="s">
        <v>275</v>
      </c>
      <c r="C124" s="165">
        <v>200000000</v>
      </c>
      <c r="D124" s="250"/>
      <c r="E124" s="102"/>
    </row>
    <row r="125" spans="1:5" ht="12" customHeight="1">
      <c r="A125" s="13" t="s">
        <v>72</v>
      </c>
      <c r="B125" s="10" t="s">
        <v>128</v>
      </c>
      <c r="C125" s="164">
        <v>6350000</v>
      </c>
      <c r="D125" s="251">
        <v>5750000</v>
      </c>
      <c r="E125" s="101">
        <v>5638043</v>
      </c>
    </row>
    <row r="126" spans="1:5" ht="12" customHeight="1">
      <c r="A126" s="13" t="s">
        <v>73</v>
      </c>
      <c r="B126" s="10" t="s">
        <v>276</v>
      </c>
      <c r="C126" s="164"/>
      <c r="D126" s="251"/>
      <c r="E126" s="101"/>
    </row>
    <row r="127" spans="1:5" ht="12" customHeight="1">
      <c r="A127" s="13" t="s">
        <v>74</v>
      </c>
      <c r="B127" s="109" t="s">
        <v>147</v>
      </c>
      <c r="C127" s="164">
        <v>600000</v>
      </c>
      <c r="D127" s="251">
        <v>600000</v>
      </c>
      <c r="E127" s="101">
        <v>300000</v>
      </c>
    </row>
    <row r="128" spans="1:5" ht="12" customHeight="1">
      <c r="A128" s="13" t="s">
        <v>81</v>
      </c>
      <c r="B128" s="108" t="s">
        <v>334</v>
      </c>
      <c r="C128" s="164"/>
      <c r="D128" s="251"/>
      <c r="E128" s="101"/>
    </row>
    <row r="129" spans="1:5" ht="12" customHeight="1">
      <c r="A129" s="13" t="s">
        <v>83</v>
      </c>
      <c r="B129" s="172" t="s">
        <v>281</v>
      </c>
      <c r="C129" s="164"/>
      <c r="D129" s="251"/>
      <c r="E129" s="101"/>
    </row>
    <row r="130" spans="1:5" ht="15.75">
      <c r="A130" s="13" t="s">
        <v>129</v>
      </c>
      <c r="B130" s="61" t="s">
        <v>264</v>
      </c>
      <c r="C130" s="164"/>
      <c r="D130" s="251"/>
      <c r="E130" s="101"/>
    </row>
    <row r="131" spans="1:5" ht="12" customHeight="1">
      <c r="A131" s="13" t="s">
        <v>130</v>
      </c>
      <c r="B131" s="61" t="s">
        <v>280</v>
      </c>
      <c r="C131" s="164"/>
      <c r="D131" s="251"/>
      <c r="E131" s="101"/>
    </row>
    <row r="132" spans="1:5" ht="12" customHeight="1">
      <c r="A132" s="13" t="s">
        <v>131</v>
      </c>
      <c r="B132" s="61" t="s">
        <v>279</v>
      </c>
      <c r="C132" s="164"/>
      <c r="D132" s="251"/>
      <c r="E132" s="101"/>
    </row>
    <row r="133" spans="1:5" ht="12" customHeight="1">
      <c r="A133" s="13" t="s">
        <v>272</v>
      </c>
      <c r="B133" s="61" t="s">
        <v>267</v>
      </c>
      <c r="C133" s="164"/>
      <c r="D133" s="251"/>
      <c r="E133" s="101"/>
    </row>
    <row r="134" spans="1:5" ht="12" customHeight="1">
      <c r="A134" s="13" t="s">
        <v>273</v>
      </c>
      <c r="B134" s="61" t="s">
        <v>278</v>
      </c>
      <c r="C134" s="164">
        <v>600000</v>
      </c>
      <c r="D134" s="251">
        <v>600000</v>
      </c>
      <c r="E134" s="101">
        <v>300000</v>
      </c>
    </row>
    <row r="135" spans="1:5" ht="16.5" thickBot="1">
      <c r="A135" s="11" t="s">
        <v>274</v>
      </c>
      <c r="B135" s="61" t="s">
        <v>277</v>
      </c>
      <c r="C135" s="166"/>
      <c r="D135" s="252"/>
      <c r="E135" s="103"/>
    </row>
    <row r="136" spans="1:5" ht="12" customHeight="1" thickBot="1">
      <c r="A136" s="18" t="s">
        <v>8</v>
      </c>
      <c r="B136" s="56" t="s">
        <v>351</v>
      </c>
      <c r="C136" s="163">
        <f>+C101+C122</f>
        <v>574511046</v>
      </c>
      <c r="D136" s="249">
        <f>+D101+D122</f>
        <v>606345150</v>
      </c>
      <c r="E136" s="100">
        <f>+E101+E122</f>
        <v>255636240</v>
      </c>
    </row>
    <row r="137" spans="1:5" ht="12" customHeight="1" thickBot="1">
      <c r="A137" s="18" t="s">
        <v>9</v>
      </c>
      <c r="B137" s="56" t="s">
        <v>419</v>
      </c>
      <c r="C137" s="163">
        <f>+C138+C139+C140</f>
        <v>0</v>
      </c>
      <c r="D137" s="249">
        <f>+D138+D139+D140</f>
        <v>0</v>
      </c>
      <c r="E137" s="100">
        <f>+E138+E139+E140</f>
        <v>0</v>
      </c>
    </row>
    <row r="138" spans="1:5" ht="12" customHeight="1">
      <c r="A138" s="13" t="s">
        <v>179</v>
      </c>
      <c r="B138" s="10" t="s">
        <v>359</v>
      </c>
      <c r="C138" s="164"/>
      <c r="D138" s="251"/>
      <c r="E138" s="101"/>
    </row>
    <row r="139" spans="1:5" ht="12" customHeight="1">
      <c r="A139" s="13" t="s">
        <v>180</v>
      </c>
      <c r="B139" s="10" t="s">
        <v>360</v>
      </c>
      <c r="C139" s="164"/>
      <c r="D139" s="251"/>
      <c r="E139" s="101"/>
    </row>
    <row r="140" spans="1:5" ht="12" customHeight="1" thickBot="1">
      <c r="A140" s="11" t="s">
        <v>181</v>
      </c>
      <c r="B140" s="10" t="s">
        <v>361</v>
      </c>
      <c r="C140" s="164"/>
      <c r="D140" s="251"/>
      <c r="E140" s="101"/>
    </row>
    <row r="141" spans="1:5" ht="12" customHeight="1" thickBot="1">
      <c r="A141" s="18" t="s">
        <v>10</v>
      </c>
      <c r="B141" s="56" t="s">
        <v>353</v>
      </c>
      <c r="C141" s="163">
        <f>SUM(C142:C147)</f>
        <v>0</v>
      </c>
      <c r="D141" s="249">
        <f>SUM(D142:D147)</f>
        <v>0</v>
      </c>
      <c r="E141" s="100">
        <f>SUM(E142:E147)</f>
        <v>0</v>
      </c>
    </row>
    <row r="142" spans="1:5" ht="12" customHeight="1">
      <c r="A142" s="13" t="s">
        <v>57</v>
      </c>
      <c r="B142" s="7" t="s">
        <v>362</v>
      </c>
      <c r="C142" s="164"/>
      <c r="D142" s="251"/>
      <c r="E142" s="101"/>
    </row>
    <row r="143" spans="1:5" ht="12" customHeight="1">
      <c r="A143" s="13" t="s">
        <v>58</v>
      </c>
      <c r="B143" s="7" t="s">
        <v>354</v>
      </c>
      <c r="C143" s="164"/>
      <c r="D143" s="251"/>
      <c r="E143" s="101"/>
    </row>
    <row r="144" spans="1:5" ht="12" customHeight="1">
      <c r="A144" s="13" t="s">
        <v>59</v>
      </c>
      <c r="B144" s="7" t="s">
        <v>355</v>
      </c>
      <c r="C144" s="164"/>
      <c r="D144" s="251"/>
      <c r="E144" s="101"/>
    </row>
    <row r="145" spans="1:5" ht="12" customHeight="1">
      <c r="A145" s="13" t="s">
        <v>116</v>
      </c>
      <c r="B145" s="7" t="s">
        <v>356</v>
      </c>
      <c r="C145" s="164"/>
      <c r="D145" s="251"/>
      <c r="E145" s="101"/>
    </row>
    <row r="146" spans="1:5" ht="12" customHeight="1">
      <c r="A146" s="13" t="s">
        <v>117</v>
      </c>
      <c r="B146" s="7" t="s">
        <v>357</v>
      </c>
      <c r="C146" s="164"/>
      <c r="D146" s="251"/>
      <c r="E146" s="101"/>
    </row>
    <row r="147" spans="1:5" ht="12" customHeight="1" thickBot="1">
      <c r="A147" s="16" t="s">
        <v>118</v>
      </c>
      <c r="B147" s="337" t="s">
        <v>358</v>
      </c>
      <c r="C147" s="240"/>
      <c r="D147" s="313"/>
      <c r="E147" s="234"/>
    </row>
    <row r="148" spans="1:5" ht="12" customHeight="1" thickBot="1">
      <c r="A148" s="18" t="s">
        <v>11</v>
      </c>
      <c r="B148" s="56" t="s">
        <v>366</v>
      </c>
      <c r="C148" s="169">
        <f>+C149+C150+C151+C152</f>
        <v>6289400</v>
      </c>
      <c r="D148" s="253">
        <f>+D149+D150+D151+D152</f>
        <v>6289400</v>
      </c>
      <c r="E148" s="205">
        <f>+E149+E150+E151+E152</f>
        <v>6289400</v>
      </c>
    </row>
    <row r="149" spans="1:5" ht="12" customHeight="1">
      <c r="A149" s="13" t="s">
        <v>60</v>
      </c>
      <c r="B149" s="7" t="s">
        <v>282</v>
      </c>
      <c r="C149" s="164"/>
      <c r="D149" s="251"/>
      <c r="E149" s="101"/>
    </row>
    <row r="150" spans="1:5" ht="12" customHeight="1">
      <c r="A150" s="13" t="s">
        <v>61</v>
      </c>
      <c r="B150" s="7" t="s">
        <v>283</v>
      </c>
      <c r="C150" s="164">
        <v>6289400</v>
      </c>
      <c r="D150" s="251">
        <v>6289400</v>
      </c>
      <c r="E150" s="101">
        <v>6289400</v>
      </c>
    </row>
    <row r="151" spans="1:5" ht="12" customHeight="1">
      <c r="A151" s="13" t="s">
        <v>199</v>
      </c>
      <c r="B151" s="7" t="s">
        <v>367</v>
      </c>
      <c r="C151" s="164"/>
      <c r="D151" s="251"/>
      <c r="E151" s="101"/>
    </row>
    <row r="152" spans="1:5" ht="12" customHeight="1" thickBot="1">
      <c r="A152" s="11" t="s">
        <v>200</v>
      </c>
      <c r="B152" s="5" t="s">
        <v>299</v>
      </c>
      <c r="C152" s="164"/>
      <c r="D152" s="251"/>
      <c r="E152" s="101"/>
    </row>
    <row r="153" spans="1:5" ht="12" customHeight="1" thickBot="1">
      <c r="A153" s="18" t="s">
        <v>12</v>
      </c>
      <c r="B153" s="56" t="s">
        <v>368</v>
      </c>
      <c r="C153" s="242">
        <f>SUM(C154:C158)</f>
        <v>0</v>
      </c>
      <c r="D153" s="254">
        <f>SUM(D154:D158)</f>
        <v>0</v>
      </c>
      <c r="E153" s="236">
        <f>SUM(E154:E158)</f>
        <v>0</v>
      </c>
    </row>
    <row r="154" spans="1:5" ht="12" customHeight="1">
      <c r="A154" s="13" t="s">
        <v>62</v>
      </c>
      <c r="B154" s="7" t="s">
        <v>363</v>
      </c>
      <c r="C154" s="164"/>
      <c r="D154" s="251"/>
      <c r="E154" s="101"/>
    </row>
    <row r="155" spans="1:5" ht="12" customHeight="1">
      <c r="A155" s="13" t="s">
        <v>63</v>
      </c>
      <c r="B155" s="7" t="s">
        <v>370</v>
      </c>
      <c r="C155" s="164"/>
      <c r="D155" s="251"/>
      <c r="E155" s="101"/>
    </row>
    <row r="156" spans="1:5" ht="12" customHeight="1">
      <c r="A156" s="13" t="s">
        <v>211</v>
      </c>
      <c r="B156" s="7" t="s">
        <v>365</v>
      </c>
      <c r="C156" s="164"/>
      <c r="D156" s="251"/>
      <c r="E156" s="101"/>
    </row>
    <row r="157" spans="1:5" ht="12" customHeight="1">
      <c r="A157" s="13" t="s">
        <v>212</v>
      </c>
      <c r="B157" s="7" t="s">
        <v>371</v>
      </c>
      <c r="C157" s="164"/>
      <c r="D157" s="251"/>
      <c r="E157" s="101"/>
    </row>
    <row r="158" spans="1:5" ht="12" customHeight="1" thickBot="1">
      <c r="A158" s="13" t="s">
        <v>369</v>
      </c>
      <c r="B158" s="7" t="s">
        <v>372</v>
      </c>
      <c r="C158" s="164"/>
      <c r="D158" s="251"/>
      <c r="E158" s="101"/>
    </row>
    <row r="159" spans="1:5" ht="12" customHeight="1" thickBot="1">
      <c r="A159" s="18" t="s">
        <v>13</v>
      </c>
      <c r="B159" s="56" t="s">
        <v>373</v>
      </c>
      <c r="C159" s="243"/>
      <c r="D159" s="255"/>
      <c r="E159" s="237"/>
    </row>
    <row r="160" spans="1:5" ht="12" customHeight="1" thickBot="1">
      <c r="A160" s="18" t="s">
        <v>14</v>
      </c>
      <c r="B160" s="56" t="s">
        <v>374</v>
      </c>
      <c r="C160" s="243"/>
      <c r="D160" s="255"/>
      <c r="E160" s="237"/>
    </row>
    <row r="161" spans="1:9" ht="15" customHeight="1" thickBot="1">
      <c r="A161" s="18" t="s">
        <v>15</v>
      </c>
      <c r="B161" s="56" t="s">
        <v>376</v>
      </c>
      <c r="C161" s="244">
        <f>+C137+C141+C148+C153+C159+C160</f>
        <v>6289400</v>
      </c>
      <c r="D161" s="256">
        <f>+D137+D141+D148+D153+D159+D160</f>
        <v>6289400</v>
      </c>
      <c r="E161" s="238">
        <f>+E137+E141+E148+E153+E159+E160</f>
        <v>6289400</v>
      </c>
      <c r="F161" s="186"/>
      <c r="G161" s="187"/>
      <c r="H161" s="187"/>
      <c r="I161" s="187"/>
    </row>
    <row r="162" spans="1:5" s="175" customFormat="1" ht="12.75" customHeight="1" thickBot="1">
      <c r="A162" s="110" t="s">
        <v>16</v>
      </c>
      <c r="B162" s="150" t="s">
        <v>375</v>
      </c>
      <c r="C162" s="244">
        <f>+C136+C161</f>
        <v>580800446</v>
      </c>
      <c r="D162" s="256">
        <f>+D136+D161</f>
        <v>612634550</v>
      </c>
      <c r="E162" s="238">
        <f>+E136+E161</f>
        <v>261925640</v>
      </c>
    </row>
    <row r="163" spans="3:5" ht="15.75">
      <c r="C163" s="668"/>
      <c r="D163" s="668"/>
      <c r="E163" s="668"/>
    </row>
    <row r="164" spans="1:5" ht="15.75">
      <c r="A164" s="822" t="s">
        <v>284</v>
      </c>
      <c r="B164" s="822"/>
      <c r="C164" s="822"/>
      <c r="D164" s="822"/>
      <c r="E164" s="822"/>
    </row>
    <row r="165" spans="1:5" ht="15" customHeight="1" thickBot="1">
      <c r="A165" s="832" t="s">
        <v>104</v>
      </c>
      <c r="B165" s="832"/>
      <c r="C165" s="112"/>
      <c r="E165" s="112" t="str">
        <f>E97</f>
        <v> Forintban!</v>
      </c>
    </row>
    <row r="166" spans="1:5" ht="25.5" customHeight="1" thickBot="1">
      <c r="A166" s="18">
        <v>1</v>
      </c>
      <c r="B166" s="22" t="s">
        <v>377</v>
      </c>
      <c r="C166" s="248">
        <f>+C69-C136</f>
        <v>-352834458</v>
      </c>
      <c r="D166" s="163">
        <f>+D69-D136</f>
        <v>-359936220</v>
      </c>
      <c r="E166" s="100">
        <f>+E69-E136</f>
        <v>521273</v>
      </c>
    </row>
    <row r="167" spans="1:5" ht="32.25" customHeight="1" thickBot="1">
      <c r="A167" s="18" t="s">
        <v>7</v>
      </c>
      <c r="B167" s="22" t="s">
        <v>383</v>
      </c>
      <c r="C167" s="163">
        <f>+C93-C161</f>
        <v>354464458</v>
      </c>
      <c r="D167" s="163">
        <f>+D93-D161</f>
        <v>361616220</v>
      </c>
      <c r="E167" s="100">
        <f>+E93-E161</f>
        <v>361616220</v>
      </c>
    </row>
  </sheetData>
  <sheetProtection selectLockedCells="1" selectUnlockedCells="1"/>
  <mergeCells count="16">
    <mergeCell ref="A164:E164"/>
    <mergeCell ref="A165:B165"/>
    <mergeCell ref="A8:A9"/>
    <mergeCell ref="B8:B9"/>
    <mergeCell ref="C8:E8"/>
    <mergeCell ref="A96:E96"/>
    <mergeCell ref="A97:B97"/>
    <mergeCell ref="A98:A99"/>
    <mergeCell ref="B98:B99"/>
    <mergeCell ref="C98:E98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9" max="4" man="1"/>
    <brk id="14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7"/>
  <sheetViews>
    <sheetView zoomScale="120" zoomScaleNormal="120" zoomScaleSheetLayoutView="100" workbookViewId="0" topLeftCell="A1">
      <selection activeCell="A4" sqref="A4:E4"/>
    </sheetView>
  </sheetViews>
  <sheetFormatPr defaultColWidth="9.00390625" defaultRowHeight="12.75"/>
  <cols>
    <col min="1" max="1" width="9.50390625" style="151" customWidth="1"/>
    <col min="2" max="2" width="65.875" style="151" customWidth="1"/>
    <col min="3" max="3" width="17.875" style="152" customWidth="1"/>
    <col min="4" max="5" width="17.875" style="173" customWidth="1"/>
    <col min="6" max="16384" width="9.375" style="173" customWidth="1"/>
  </cols>
  <sheetData>
    <row r="1" spans="1:5" ht="15.75">
      <c r="A1" s="338"/>
      <c r="B1" s="827" t="str">
        <f>CONCATENATE("1.3. melléklet ",Z_ALAPADATOK!A7," ",Z_ALAPADATOK!B7," ",Z_ALAPADATOK!C7," ",Z_ALAPADATOK!D7," ",Z_ALAPADATOK!E7," ",Z_ALAPADATOK!F7," ",Z_ALAPADATOK!G7," ",Z_ALAPADATOK!H7)</f>
        <v>1.3. melléklet a 12 / 2020. ( VII.16. ) önkormányzati rendelethez</v>
      </c>
      <c r="C1" s="828"/>
      <c r="D1" s="828"/>
      <c r="E1" s="828"/>
    </row>
    <row r="2" spans="1:5" ht="15.75">
      <c r="A2" s="829" t="str">
        <f>CONCATENATE(Z_ALAPADATOK!A3)</f>
        <v>Szalánta Községi Önkormányzat</v>
      </c>
      <c r="B2" s="830"/>
      <c r="C2" s="830"/>
      <c r="D2" s="830"/>
      <c r="E2" s="830"/>
    </row>
    <row r="3" spans="1:5" ht="15.75">
      <c r="A3" s="829" t="s">
        <v>914</v>
      </c>
      <c r="B3" s="829"/>
      <c r="C3" s="831"/>
      <c r="D3" s="829"/>
      <c r="E3" s="829"/>
    </row>
    <row r="4" spans="1:5" ht="19.5" customHeight="1">
      <c r="A4" s="829" t="s">
        <v>868</v>
      </c>
      <c r="B4" s="829"/>
      <c r="C4" s="831"/>
      <c r="D4" s="829"/>
      <c r="E4" s="829"/>
    </row>
    <row r="5" spans="1:5" ht="15.75">
      <c r="A5" s="338"/>
      <c r="B5" s="338"/>
      <c r="C5" s="339"/>
      <c r="D5" s="340"/>
      <c r="E5" s="340"/>
    </row>
    <row r="6" spans="1:5" ht="15.75" customHeight="1">
      <c r="A6" s="823" t="s">
        <v>3</v>
      </c>
      <c r="B6" s="823"/>
      <c r="C6" s="823"/>
      <c r="D6" s="823"/>
      <c r="E6" s="823"/>
    </row>
    <row r="7" spans="1:5" ht="15.75" customHeight="1" thickBot="1">
      <c r="A7" s="825" t="s">
        <v>102</v>
      </c>
      <c r="B7" s="825"/>
      <c r="C7" s="341"/>
      <c r="D7" s="340"/>
      <c r="E7" s="341" t="str">
        <f>CONCATENATE('Z_1.2.sz.mell.'!E7)</f>
        <v> Forintban!</v>
      </c>
    </row>
    <row r="8" spans="1:5" ht="15.75">
      <c r="A8" s="833" t="s">
        <v>52</v>
      </c>
      <c r="B8" s="835" t="s">
        <v>5</v>
      </c>
      <c r="C8" s="819" t="str">
        <f>+CONCATENATE(LEFT(Z_ÖSSZEFÜGGÉSEK!A6,4),". évi")</f>
        <v>2019. évi</v>
      </c>
      <c r="D8" s="820"/>
      <c r="E8" s="821"/>
    </row>
    <row r="9" spans="1:5" ht="24.75" thickBot="1">
      <c r="A9" s="834"/>
      <c r="B9" s="836"/>
      <c r="C9" s="246" t="s">
        <v>416</v>
      </c>
      <c r="D9" s="245" t="s">
        <v>417</v>
      </c>
      <c r="E9" s="327" t="str">
        <f>CONCATENATE('Z_1.2.sz.mell.'!E9)</f>
        <v>2019. XII. 31.
teljesítés</v>
      </c>
    </row>
    <row r="10" spans="1:5" s="174" customFormat="1" ht="12" customHeight="1" thickBot="1">
      <c r="A10" s="170" t="s">
        <v>387</v>
      </c>
      <c r="B10" s="171" t="s">
        <v>388</v>
      </c>
      <c r="C10" s="171" t="s">
        <v>389</v>
      </c>
      <c r="D10" s="171" t="s">
        <v>391</v>
      </c>
      <c r="E10" s="247" t="s">
        <v>390</v>
      </c>
    </row>
    <row r="11" spans="1:5" s="175" customFormat="1" ht="12" customHeight="1" thickBot="1">
      <c r="A11" s="18" t="s">
        <v>6</v>
      </c>
      <c r="B11" s="19" t="s">
        <v>164</v>
      </c>
      <c r="C11" s="163">
        <f>+C12+C13+C14+C15+C16+C17</f>
        <v>0</v>
      </c>
      <c r="D11" s="163">
        <f>+D12+D13+D14+D15+D16+D17</f>
        <v>0</v>
      </c>
      <c r="E11" s="100">
        <f>+E12+E13+E14+E15+E16+E17</f>
        <v>0</v>
      </c>
    </row>
    <row r="12" spans="1:5" s="175" customFormat="1" ht="12" customHeight="1">
      <c r="A12" s="13" t="s">
        <v>64</v>
      </c>
      <c r="B12" s="176" t="s">
        <v>165</v>
      </c>
      <c r="C12" s="165"/>
      <c r="D12" s="165"/>
      <c r="E12" s="102"/>
    </row>
    <row r="13" spans="1:5" s="175" customFormat="1" ht="12" customHeight="1">
      <c r="A13" s="12" t="s">
        <v>65</v>
      </c>
      <c r="B13" s="177" t="s">
        <v>166</v>
      </c>
      <c r="C13" s="164"/>
      <c r="D13" s="164"/>
      <c r="E13" s="101"/>
    </row>
    <row r="14" spans="1:5" s="175" customFormat="1" ht="12" customHeight="1">
      <c r="A14" s="12" t="s">
        <v>66</v>
      </c>
      <c r="B14" s="177" t="s">
        <v>167</v>
      </c>
      <c r="C14" s="164"/>
      <c r="D14" s="164"/>
      <c r="E14" s="101"/>
    </row>
    <row r="15" spans="1:5" s="175" customFormat="1" ht="12" customHeight="1">
      <c r="A15" s="12" t="s">
        <v>67</v>
      </c>
      <c r="B15" s="177" t="s">
        <v>168</v>
      </c>
      <c r="C15" s="164"/>
      <c r="D15" s="164"/>
      <c r="E15" s="101"/>
    </row>
    <row r="16" spans="1:5" s="175" customFormat="1" ht="12" customHeight="1">
      <c r="A16" s="12" t="s">
        <v>99</v>
      </c>
      <c r="B16" s="108" t="s">
        <v>335</v>
      </c>
      <c r="C16" s="164"/>
      <c r="D16" s="164"/>
      <c r="E16" s="101"/>
    </row>
    <row r="17" spans="1:5" s="175" customFormat="1" ht="12" customHeight="1" thickBot="1">
      <c r="A17" s="14" t="s">
        <v>68</v>
      </c>
      <c r="B17" s="109" t="s">
        <v>336</v>
      </c>
      <c r="C17" s="164"/>
      <c r="D17" s="164"/>
      <c r="E17" s="101"/>
    </row>
    <row r="18" spans="1:5" s="175" customFormat="1" ht="12" customHeight="1" thickBot="1">
      <c r="A18" s="18" t="s">
        <v>7</v>
      </c>
      <c r="B18" s="107" t="s">
        <v>169</v>
      </c>
      <c r="C18" s="163">
        <f>+C19+C20+C21+C22+C23</f>
        <v>0</v>
      </c>
      <c r="D18" s="163">
        <f>+D19+D20+D21+D22+D23</f>
        <v>0</v>
      </c>
      <c r="E18" s="100">
        <f>+E19+E20+E21+E22+E23</f>
        <v>0</v>
      </c>
    </row>
    <row r="19" spans="1:5" s="175" customFormat="1" ht="12" customHeight="1">
      <c r="A19" s="13" t="s">
        <v>70</v>
      </c>
      <c r="B19" s="176" t="s">
        <v>170</v>
      </c>
      <c r="C19" s="165"/>
      <c r="D19" s="165"/>
      <c r="E19" s="102"/>
    </row>
    <row r="20" spans="1:5" s="175" customFormat="1" ht="12" customHeight="1">
      <c r="A20" s="12" t="s">
        <v>71</v>
      </c>
      <c r="B20" s="177" t="s">
        <v>171</v>
      </c>
      <c r="C20" s="164"/>
      <c r="D20" s="164"/>
      <c r="E20" s="101"/>
    </row>
    <row r="21" spans="1:5" s="175" customFormat="1" ht="12" customHeight="1">
      <c r="A21" s="12" t="s">
        <v>72</v>
      </c>
      <c r="B21" s="177" t="s">
        <v>328</v>
      </c>
      <c r="C21" s="164"/>
      <c r="D21" s="164"/>
      <c r="E21" s="101"/>
    </row>
    <row r="22" spans="1:5" s="175" customFormat="1" ht="12" customHeight="1">
      <c r="A22" s="12" t="s">
        <v>73</v>
      </c>
      <c r="B22" s="177" t="s">
        <v>329</v>
      </c>
      <c r="C22" s="164"/>
      <c r="D22" s="164"/>
      <c r="E22" s="101"/>
    </row>
    <row r="23" spans="1:5" s="175" customFormat="1" ht="12" customHeight="1">
      <c r="A23" s="12" t="s">
        <v>74</v>
      </c>
      <c r="B23" s="177" t="s">
        <v>172</v>
      </c>
      <c r="C23" s="164"/>
      <c r="D23" s="164"/>
      <c r="E23" s="101"/>
    </row>
    <row r="24" spans="1:5" s="175" customFormat="1" ht="12" customHeight="1" thickBot="1">
      <c r="A24" s="14" t="s">
        <v>81</v>
      </c>
      <c r="B24" s="109" t="s">
        <v>173</v>
      </c>
      <c r="C24" s="166"/>
      <c r="D24" s="166"/>
      <c r="E24" s="103"/>
    </row>
    <row r="25" spans="1:5" s="175" customFormat="1" ht="12" customHeight="1" thickBot="1">
      <c r="A25" s="18" t="s">
        <v>8</v>
      </c>
      <c r="B25" s="19" t="s">
        <v>174</v>
      </c>
      <c r="C25" s="163">
        <f>+C26+C27+C28+C29+C30</f>
        <v>0</v>
      </c>
      <c r="D25" s="163">
        <f>+D26+D27+D28+D29+D30</f>
        <v>0</v>
      </c>
      <c r="E25" s="100">
        <f>+E26+E27+E28+E29+E30</f>
        <v>0</v>
      </c>
    </row>
    <row r="26" spans="1:5" s="175" customFormat="1" ht="12" customHeight="1">
      <c r="A26" s="13" t="s">
        <v>53</v>
      </c>
      <c r="B26" s="176" t="s">
        <v>175</v>
      </c>
      <c r="C26" s="165"/>
      <c r="D26" s="165"/>
      <c r="E26" s="102"/>
    </row>
    <row r="27" spans="1:5" s="175" customFormat="1" ht="12" customHeight="1">
      <c r="A27" s="12" t="s">
        <v>54</v>
      </c>
      <c r="B27" s="177" t="s">
        <v>176</v>
      </c>
      <c r="C27" s="164"/>
      <c r="D27" s="164"/>
      <c r="E27" s="101"/>
    </row>
    <row r="28" spans="1:5" s="175" customFormat="1" ht="12" customHeight="1">
      <c r="A28" s="12" t="s">
        <v>55</v>
      </c>
      <c r="B28" s="177" t="s">
        <v>330</v>
      </c>
      <c r="C28" s="164"/>
      <c r="D28" s="164"/>
      <c r="E28" s="101"/>
    </row>
    <row r="29" spans="1:5" s="175" customFormat="1" ht="12" customHeight="1">
      <c r="A29" s="12" t="s">
        <v>56</v>
      </c>
      <c r="B29" s="177" t="s">
        <v>331</v>
      </c>
      <c r="C29" s="164"/>
      <c r="D29" s="164"/>
      <c r="E29" s="101"/>
    </row>
    <row r="30" spans="1:5" s="175" customFormat="1" ht="12" customHeight="1">
      <c r="A30" s="12" t="s">
        <v>112</v>
      </c>
      <c r="B30" s="177" t="s">
        <v>177</v>
      </c>
      <c r="C30" s="164"/>
      <c r="D30" s="164"/>
      <c r="E30" s="101"/>
    </row>
    <row r="31" spans="1:5" s="175" customFormat="1" ht="12" customHeight="1" thickBot="1">
      <c r="A31" s="14" t="s">
        <v>113</v>
      </c>
      <c r="B31" s="178" t="s">
        <v>178</v>
      </c>
      <c r="C31" s="166"/>
      <c r="D31" s="166"/>
      <c r="E31" s="103"/>
    </row>
    <row r="32" spans="1:5" s="175" customFormat="1" ht="12" customHeight="1" thickBot="1">
      <c r="A32" s="18" t="s">
        <v>114</v>
      </c>
      <c r="B32" s="19" t="s">
        <v>481</v>
      </c>
      <c r="C32" s="169">
        <f>SUM(C33:C40)</f>
        <v>0</v>
      </c>
      <c r="D32" s="169">
        <f>SUM(D33:D40)</f>
        <v>0</v>
      </c>
      <c r="E32" s="205">
        <f>SUM(E33:E40)</f>
        <v>0</v>
      </c>
    </row>
    <row r="33" spans="1:5" s="175" customFormat="1" ht="12" customHeight="1">
      <c r="A33" s="13" t="s">
        <v>179</v>
      </c>
      <c r="B33" s="176" t="s">
        <v>482</v>
      </c>
      <c r="C33" s="165">
        <f>+C35+C36+C37</f>
        <v>0</v>
      </c>
      <c r="D33" s="165">
        <f>+D35+D36+D37</f>
        <v>0</v>
      </c>
      <c r="E33" s="102">
        <f>+E35+E36+E37</f>
        <v>0</v>
      </c>
    </row>
    <row r="34" spans="1:5" s="175" customFormat="1" ht="12" customHeight="1">
      <c r="A34" s="13" t="s">
        <v>180</v>
      </c>
      <c r="B34" s="176" t="s">
        <v>878</v>
      </c>
      <c r="C34" s="165"/>
      <c r="D34" s="165"/>
      <c r="E34" s="102"/>
    </row>
    <row r="35" spans="1:5" s="175" customFormat="1" ht="12" customHeight="1">
      <c r="A35" s="12" t="s">
        <v>181</v>
      </c>
      <c r="B35" s="177" t="s">
        <v>883</v>
      </c>
      <c r="C35" s="164"/>
      <c r="D35" s="164"/>
      <c r="E35" s="101"/>
    </row>
    <row r="36" spans="1:5" s="175" customFormat="1" ht="12" customHeight="1">
      <c r="A36" s="12" t="s">
        <v>182</v>
      </c>
      <c r="B36" s="177" t="s">
        <v>483</v>
      </c>
      <c r="C36" s="164"/>
      <c r="D36" s="164"/>
      <c r="E36" s="101"/>
    </row>
    <row r="37" spans="1:5" s="175" customFormat="1" ht="12" customHeight="1">
      <c r="A37" s="12" t="s">
        <v>485</v>
      </c>
      <c r="B37" s="177" t="s">
        <v>484</v>
      </c>
      <c r="C37" s="164"/>
      <c r="D37" s="164"/>
      <c r="E37" s="101"/>
    </row>
    <row r="38" spans="1:5" s="175" customFormat="1" ht="12" customHeight="1">
      <c r="A38" s="12" t="s">
        <v>486</v>
      </c>
      <c r="B38" s="177" t="s">
        <v>183</v>
      </c>
      <c r="C38" s="164"/>
      <c r="D38" s="164"/>
      <c r="E38" s="101"/>
    </row>
    <row r="39" spans="1:5" s="175" customFormat="1" ht="12" customHeight="1">
      <c r="A39" s="12" t="s">
        <v>487</v>
      </c>
      <c r="B39" s="177" t="s">
        <v>184</v>
      </c>
      <c r="C39" s="164"/>
      <c r="D39" s="164"/>
      <c r="E39" s="101"/>
    </row>
    <row r="40" spans="1:5" s="175" customFormat="1" ht="12" customHeight="1" thickBot="1">
      <c r="A40" s="14" t="s">
        <v>881</v>
      </c>
      <c r="B40" s="318" t="s">
        <v>185</v>
      </c>
      <c r="C40" s="166"/>
      <c r="D40" s="166"/>
      <c r="E40" s="103"/>
    </row>
    <row r="41" spans="1:5" s="175" customFormat="1" ht="12" customHeight="1" thickBot="1">
      <c r="A41" s="18" t="s">
        <v>10</v>
      </c>
      <c r="B41" s="19" t="s">
        <v>337</v>
      </c>
      <c r="C41" s="163">
        <f>SUM(C42:C52)</f>
        <v>0</v>
      </c>
      <c r="D41" s="163">
        <f>SUM(D42:D52)</f>
        <v>0</v>
      </c>
      <c r="E41" s="100">
        <f>SUM(E42:E52)</f>
        <v>0</v>
      </c>
    </row>
    <row r="42" spans="1:5" s="175" customFormat="1" ht="12" customHeight="1">
      <c r="A42" s="13" t="s">
        <v>57</v>
      </c>
      <c r="B42" s="176" t="s">
        <v>188</v>
      </c>
      <c r="C42" s="165"/>
      <c r="D42" s="165"/>
      <c r="E42" s="102"/>
    </row>
    <row r="43" spans="1:5" s="175" customFormat="1" ht="12" customHeight="1">
      <c r="A43" s="12" t="s">
        <v>58</v>
      </c>
      <c r="B43" s="177" t="s">
        <v>189</v>
      </c>
      <c r="C43" s="164"/>
      <c r="D43" s="164"/>
      <c r="E43" s="101"/>
    </row>
    <row r="44" spans="1:5" s="175" customFormat="1" ht="12" customHeight="1">
      <c r="A44" s="12" t="s">
        <v>59</v>
      </c>
      <c r="B44" s="177" t="s">
        <v>190</v>
      </c>
      <c r="C44" s="164"/>
      <c r="D44" s="164"/>
      <c r="E44" s="101"/>
    </row>
    <row r="45" spans="1:5" s="175" customFormat="1" ht="12" customHeight="1">
      <c r="A45" s="12" t="s">
        <v>116</v>
      </c>
      <c r="B45" s="177" t="s">
        <v>191</v>
      </c>
      <c r="C45" s="164"/>
      <c r="D45" s="164"/>
      <c r="E45" s="101"/>
    </row>
    <row r="46" spans="1:5" s="175" customFormat="1" ht="12" customHeight="1">
      <c r="A46" s="12" t="s">
        <v>117</v>
      </c>
      <c r="B46" s="177" t="s">
        <v>192</v>
      </c>
      <c r="C46" s="164"/>
      <c r="D46" s="164"/>
      <c r="E46" s="101"/>
    </row>
    <row r="47" spans="1:5" s="175" customFormat="1" ht="12" customHeight="1">
      <c r="A47" s="12" t="s">
        <v>118</v>
      </c>
      <c r="B47" s="177" t="s">
        <v>193</v>
      </c>
      <c r="C47" s="164"/>
      <c r="D47" s="164"/>
      <c r="E47" s="101"/>
    </row>
    <row r="48" spans="1:5" s="175" customFormat="1" ht="12" customHeight="1">
      <c r="A48" s="12" t="s">
        <v>119</v>
      </c>
      <c r="B48" s="177" t="s">
        <v>194</v>
      </c>
      <c r="C48" s="164"/>
      <c r="D48" s="164"/>
      <c r="E48" s="101"/>
    </row>
    <row r="49" spans="1:5" s="175" customFormat="1" ht="12" customHeight="1">
      <c r="A49" s="12" t="s">
        <v>120</v>
      </c>
      <c r="B49" s="177" t="s">
        <v>488</v>
      </c>
      <c r="C49" s="164"/>
      <c r="D49" s="164"/>
      <c r="E49" s="101"/>
    </row>
    <row r="50" spans="1:5" s="175" customFormat="1" ht="12" customHeight="1">
      <c r="A50" s="12" t="s">
        <v>186</v>
      </c>
      <c r="B50" s="177" t="s">
        <v>196</v>
      </c>
      <c r="C50" s="167"/>
      <c r="D50" s="167"/>
      <c r="E50" s="104"/>
    </row>
    <row r="51" spans="1:5" s="175" customFormat="1" ht="12" customHeight="1">
      <c r="A51" s="14" t="s">
        <v>187</v>
      </c>
      <c r="B51" s="178" t="s">
        <v>339</v>
      </c>
      <c r="C51" s="168"/>
      <c r="D51" s="168"/>
      <c r="E51" s="105"/>
    </row>
    <row r="52" spans="1:5" s="175" customFormat="1" ht="12" customHeight="1" thickBot="1">
      <c r="A52" s="14" t="s">
        <v>338</v>
      </c>
      <c r="B52" s="109" t="s">
        <v>197</v>
      </c>
      <c r="C52" s="168"/>
      <c r="D52" s="168"/>
      <c r="E52" s="105"/>
    </row>
    <row r="53" spans="1:5" s="175" customFormat="1" ht="12" customHeight="1" thickBot="1">
      <c r="A53" s="18" t="s">
        <v>11</v>
      </c>
      <c r="B53" s="19" t="s">
        <v>198</v>
      </c>
      <c r="C53" s="163">
        <f>SUM(C54:C58)</f>
        <v>0</v>
      </c>
      <c r="D53" s="163">
        <f>SUM(D54:D58)</f>
        <v>0</v>
      </c>
      <c r="E53" s="100">
        <f>SUM(E54:E58)</f>
        <v>0</v>
      </c>
    </row>
    <row r="54" spans="1:5" s="175" customFormat="1" ht="12" customHeight="1">
      <c r="A54" s="13" t="s">
        <v>60</v>
      </c>
      <c r="B54" s="176" t="s">
        <v>202</v>
      </c>
      <c r="C54" s="216"/>
      <c r="D54" s="216"/>
      <c r="E54" s="106"/>
    </row>
    <row r="55" spans="1:5" s="175" customFormat="1" ht="12" customHeight="1">
      <c r="A55" s="12" t="s">
        <v>61</v>
      </c>
      <c r="B55" s="177" t="s">
        <v>203</v>
      </c>
      <c r="C55" s="167"/>
      <c r="D55" s="167"/>
      <c r="E55" s="104"/>
    </row>
    <row r="56" spans="1:5" s="175" customFormat="1" ht="12" customHeight="1">
      <c r="A56" s="12" t="s">
        <v>199</v>
      </c>
      <c r="B56" s="177" t="s">
        <v>204</v>
      </c>
      <c r="C56" s="167"/>
      <c r="D56" s="167"/>
      <c r="E56" s="104"/>
    </row>
    <row r="57" spans="1:5" s="175" customFormat="1" ht="12" customHeight="1">
      <c r="A57" s="12" t="s">
        <v>200</v>
      </c>
      <c r="B57" s="177" t="s">
        <v>205</v>
      </c>
      <c r="C57" s="167"/>
      <c r="D57" s="167"/>
      <c r="E57" s="104"/>
    </row>
    <row r="58" spans="1:5" s="175" customFormat="1" ht="12" customHeight="1" thickBot="1">
      <c r="A58" s="14" t="s">
        <v>201</v>
      </c>
      <c r="B58" s="109" t="s">
        <v>206</v>
      </c>
      <c r="C58" s="168"/>
      <c r="D58" s="168"/>
      <c r="E58" s="105"/>
    </row>
    <row r="59" spans="1:5" s="175" customFormat="1" ht="12" customHeight="1" thickBot="1">
      <c r="A59" s="18" t="s">
        <v>121</v>
      </c>
      <c r="B59" s="19" t="s">
        <v>207</v>
      </c>
      <c r="C59" s="163">
        <f>SUM(C60:C62)</f>
        <v>0</v>
      </c>
      <c r="D59" s="163">
        <f>SUM(D60:D62)</f>
        <v>0</v>
      </c>
      <c r="E59" s="100">
        <f>SUM(E60:E62)</f>
        <v>0</v>
      </c>
    </row>
    <row r="60" spans="1:5" s="175" customFormat="1" ht="12" customHeight="1">
      <c r="A60" s="13" t="s">
        <v>62</v>
      </c>
      <c r="B60" s="176" t="s">
        <v>208</v>
      </c>
      <c r="C60" s="165"/>
      <c r="D60" s="165"/>
      <c r="E60" s="102"/>
    </row>
    <row r="61" spans="1:5" s="175" customFormat="1" ht="12" customHeight="1">
      <c r="A61" s="12" t="s">
        <v>63</v>
      </c>
      <c r="B61" s="177" t="s">
        <v>332</v>
      </c>
      <c r="C61" s="164"/>
      <c r="D61" s="164"/>
      <c r="E61" s="101"/>
    </row>
    <row r="62" spans="1:5" s="175" customFormat="1" ht="12" customHeight="1">
      <c r="A62" s="12" t="s">
        <v>211</v>
      </c>
      <c r="B62" s="177" t="s">
        <v>209</v>
      </c>
      <c r="C62" s="164"/>
      <c r="D62" s="164"/>
      <c r="E62" s="101"/>
    </row>
    <row r="63" spans="1:5" s="175" customFormat="1" ht="12" customHeight="1" thickBot="1">
      <c r="A63" s="14" t="s">
        <v>212</v>
      </c>
      <c r="B63" s="109" t="s">
        <v>210</v>
      </c>
      <c r="C63" s="166"/>
      <c r="D63" s="166"/>
      <c r="E63" s="103"/>
    </row>
    <row r="64" spans="1:5" s="175" customFormat="1" ht="12" customHeight="1" thickBot="1">
      <c r="A64" s="18" t="s">
        <v>13</v>
      </c>
      <c r="B64" s="107" t="s">
        <v>213</v>
      </c>
      <c r="C64" s="163">
        <f>SUM(C65:C67)</f>
        <v>0</v>
      </c>
      <c r="D64" s="163">
        <f>SUM(D65:D67)</f>
        <v>0</v>
      </c>
      <c r="E64" s="100">
        <f>SUM(E65:E67)</f>
        <v>0</v>
      </c>
    </row>
    <row r="65" spans="1:5" s="175" customFormat="1" ht="12" customHeight="1">
      <c r="A65" s="13" t="s">
        <v>122</v>
      </c>
      <c r="B65" s="176" t="s">
        <v>215</v>
      </c>
      <c r="C65" s="167"/>
      <c r="D65" s="167"/>
      <c r="E65" s="104"/>
    </row>
    <row r="66" spans="1:5" s="175" customFormat="1" ht="12" customHeight="1">
      <c r="A66" s="12" t="s">
        <v>123</v>
      </c>
      <c r="B66" s="177" t="s">
        <v>333</v>
      </c>
      <c r="C66" s="167"/>
      <c r="D66" s="167"/>
      <c r="E66" s="104"/>
    </row>
    <row r="67" spans="1:5" s="175" customFormat="1" ht="12" customHeight="1">
      <c r="A67" s="12" t="s">
        <v>146</v>
      </c>
      <c r="B67" s="177" t="s">
        <v>216</v>
      </c>
      <c r="C67" s="167"/>
      <c r="D67" s="167"/>
      <c r="E67" s="104"/>
    </row>
    <row r="68" spans="1:5" s="175" customFormat="1" ht="12" customHeight="1" thickBot="1">
      <c r="A68" s="14" t="s">
        <v>214</v>
      </c>
      <c r="B68" s="109" t="s">
        <v>217</v>
      </c>
      <c r="C68" s="167"/>
      <c r="D68" s="167"/>
      <c r="E68" s="104"/>
    </row>
    <row r="69" spans="1:5" s="175" customFormat="1" ht="12" customHeight="1" thickBot="1">
      <c r="A69" s="229" t="s">
        <v>379</v>
      </c>
      <c r="B69" s="19" t="s">
        <v>218</v>
      </c>
      <c r="C69" s="169">
        <f>+C11+C18+C25+C32+C41+C53+C59+C64</f>
        <v>0</v>
      </c>
      <c r="D69" s="169">
        <f>+D11+D18+D25+D32+D41+D53+D59+D64</f>
        <v>0</v>
      </c>
      <c r="E69" s="205">
        <f>+E11+E18+E25+E32+E41+E53+E59+E64</f>
        <v>0</v>
      </c>
    </row>
    <row r="70" spans="1:5" s="175" customFormat="1" ht="12" customHeight="1" thickBot="1">
      <c r="A70" s="217" t="s">
        <v>219</v>
      </c>
      <c r="B70" s="107" t="s">
        <v>220</v>
      </c>
      <c r="C70" s="163">
        <f>SUM(C71:C73)</f>
        <v>0</v>
      </c>
      <c r="D70" s="163">
        <f>SUM(D71:D73)</f>
        <v>0</v>
      </c>
      <c r="E70" s="100">
        <f>SUM(E71:E73)</f>
        <v>0</v>
      </c>
    </row>
    <row r="71" spans="1:5" s="175" customFormat="1" ht="12" customHeight="1">
      <c r="A71" s="13" t="s">
        <v>248</v>
      </c>
      <c r="B71" s="176" t="s">
        <v>221</v>
      </c>
      <c r="C71" s="167"/>
      <c r="D71" s="167"/>
      <c r="E71" s="104"/>
    </row>
    <row r="72" spans="1:5" s="175" customFormat="1" ht="12" customHeight="1">
      <c r="A72" s="12" t="s">
        <v>257</v>
      </c>
      <c r="B72" s="177" t="s">
        <v>222</v>
      </c>
      <c r="C72" s="167"/>
      <c r="D72" s="167"/>
      <c r="E72" s="104"/>
    </row>
    <row r="73" spans="1:5" s="175" customFormat="1" ht="12" customHeight="1" thickBot="1">
      <c r="A73" s="14" t="s">
        <v>258</v>
      </c>
      <c r="B73" s="225" t="s">
        <v>364</v>
      </c>
      <c r="C73" s="167"/>
      <c r="D73" s="167"/>
      <c r="E73" s="104"/>
    </row>
    <row r="74" spans="1:5" s="175" customFormat="1" ht="12" customHeight="1" thickBot="1">
      <c r="A74" s="217" t="s">
        <v>224</v>
      </c>
      <c r="B74" s="107" t="s">
        <v>225</v>
      </c>
      <c r="C74" s="163">
        <f>SUM(C75:C78)</f>
        <v>0</v>
      </c>
      <c r="D74" s="163">
        <f>SUM(D75:D78)</f>
        <v>0</v>
      </c>
      <c r="E74" s="100">
        <f>SUM(E75:E78)</f>
        <v>0</v>
      </c>
    </row>
    <row r="75" spans="1:5" s="175" customFormat="1" ht="12" customHeight="1">
      <c r="A75" s="13" t="s">
        <v>100</v>
      </c>
      <c r="B75" s="325" t="s">
        <v>226</v>
      </c>
      <c r="C75" s="167"/>
      <c r="D75" s="167"/>
      <c r="E75" s="104"/>
    </row>
    <row r="76" spans="1:5" s="175" customFormat="1" ht="12" customHeight="1">
      <c r="A76" s="12" t="s">
        <v>101</v>
      </c>
      <c r="B76" s="325" t="s">
        <v>495</v>
      </c>
      <c r="C76" s="167"/>
      <c r="D76" s="167"/>
      <c r="E76" s="104"/>
    </row>
    <row r="77" spans="1:5" s="175" customFormat="1" ht="12" customHeight="1">
      <c r="A77" s="12" t="s">
        <v>249</v>
      </c>
      <c r="B77" s="325" t="s">
        <v>227</v>
      </c>
      <c r="C77" s="167"/>
      <c r="D77" s="167"/>
      <c r="E77" s="104"/>
    </row>
    <row r="78" spans="1:5" s="175" customFormat="1" ht="12" customHeight="1" thickBot="1">
      <c r="A78" s="14" t="s">
        <v>250</v>
      </c>
      <c r="B78" s="326" t="s">
        <v>496</v>
      </c>
      <c r="C78" s="167"/>
      <c r="D78" s="167"/>
      <c r="E78" s="104"/>
    </row>
    <row r="79" spans="1:5" s="175" customFormat="1" ht="12" customHeight="1" thickBot="1">
      <c r="A79" s="217" t="s">
        <v>228</v>
      </c>
      <c r="B79" s="107" t="s">
        <v>229</v>
      </c>
      <c r="C79" s="163">
        <f>SUM(C80:C81)</f>
        <v>0</v>
      </c>
      <c r="D79" s="163">
        <f>SUM(D80:D81)</f>
        <v>0</v>
      </c>
      <c r="E79" s="100">
        <f>SUM(E80:E81)</f>
        <v>0</v>
      </c>
    </row>
    <row r="80" spans="1:5" s="175" customFormat="1" ht="12" customHeight="1">
      <c r="A80" s="13" t="s">
        <v>251</v>
      </c>
      <c r="B80" s="176" t="s">
        <v>230</v>
      </c>
      <c r="C80" s="167"/>
      <c r="D80" s="167"/>
      <c r="E80" s="104"/>
    </row>
    <row r="81" spans="1:5" s="175" customFormat="1" ht="12" customHeight="1" thickBot="1">
      <c r="A81" s="14" t="s">
        <v>252</v>
      </c>
      <c r="B81" s="109" t="s">
        <v>231</v>
      </c>
      <c r="C81" s="167"/>
      <c r="D81" s="167"/>
      <c r="E81" s="104"/>
    </row>
    <row r="82" spans="1:5" s="175" customFormat="1" ht="12" customHeight="1" thickBot="1">
      <c r="A82" s="217" t="s">
        <v>232</v>
      </c>
      <c r="B82" s="107" t="s">
        <v>233</v>
      </c>
      <c r="C82" s="163">
        <f>SUM(C83:C85)</f>
        <v>0</v>
      </c>
      <c r="D82" s="163">
        <f>SUM(D83:D85)</f>
        <v>0</v>
      </c>
      <c r="E82" s="100">
        <f>SUM(E83:E85)</f>
        <v>0</v>
      </c>
    </row>
    <row r="83" spans="1:5" s="175" customFormat="1" ht="12" customHeight="1">
      <c r="A83" s="13" t="s">
        <v>253</v>
      </c>
      <c r="B83" s="176" t="s">
        <v>234</v>
      </c>
      <c r="C83" s="167"/>
      <c r="D83" s="167"/>
      <c r="E83" s="104"/>
    </row>
    <row r="84" spans="1:5" s="175" customFormat="1" ht="12" customHeight="1">
      <c r="A84" s="12" t="s">
        <v>254</v>
      </c>
      <c r="B84" s="177" t="s">
        <v>235</v>
      </c>
      <c r="C84" s="167"/>
      <c r="D84" s="167"/>
      <c r="E84" s="104"/>
    </row>
    <row r="85" spans="1:5" s="175" customFormat="1" ht="12" customHeight="1" thickBot="1">
      <c r="A85" s="14" t="s">
        <v>255</v>
      </c>
      <c r="B85" s="109" t="s">
        <v>497</v>
      </c>
      <c r="C85" s="167"/>
      <c r="D85" s="167"/>
      <c r="E85" s="104"/>
    </row>
    <row r="86" spans="1:5" s="175" customFormat="1" ht="12" customHeight="1" thickBot="1">
      <c r="A86" s="217" t="s">
        <v>236</v>
      </c>
      <c r="B86" s="107" t="s">
        <v>256</v>
      </c>
      <c r="C86" s="163">
        <f>SUM(C87:C90)</f>
        <v>0</v>
      </c>
      <c r="D86" s="163">
        <f>SUM(D87:D90)</f>
        <v>0</v>
      </c>
      <c r="E86" s="100">
        <f>SUM(E87:E90)</f>
        <v>0</v>
      </c>
    </row>
    <row r="87" spans="1:5" s="175" customFormat="1" ht="12" customHeight="1">
      <c r="A87" s="180" t="s">
        <v>237</v>
      </c>
      <c r="B87" s="176" t="s">
        <v>238</v>
      </c>
      <c r="C87" s="167"/>
      <c r="D87" s="167"/>
      <c r="E87" s="104"/>
    </row>
    <row r="88" spans="1:5" s="175" customFormat="1" ht="12" customHeight="1">
      <c r="A88" s="181" t="s">
        <v>239</v>
      </c>
      <c r="B88" s="177" t="s">
        <v>240</v>
      </c>
      <c r="C88" s="167"/>
      <c r="D88" s="167"/>
      <c r="E88" s="104"/>
    </row>
    <row r="89" spans="1:5" s="175" customFormat="1" ht="12" customHeight="1">
      <c r="A89" s="181" t="s">
        <v>241</v>
      </c>
      <c r="B89" s="177" t="s">
        <v>242</v>
      </c>
      <c r="C89" s="167"/>
      <c r="D89" s="167"/>
      <c r="E89" s="104"/>
    </row>
    <row r="90" spans="1:5" s="175" customFormat="1" ht="12" customHeight="1" thickBot="1">
      <c r="A90" s="182" t="s">
        <v>243</v>
      </c>
      <c r="B90" s="109" t="s">
        <v>244</v>
      </c>
      <c r="C90" s="167"/>
      <c r="D90" s="167"/>
      <c r="E90" s="104"/>
    </row>
    <row r="91" spans="1:5" s="175" customFormat="1" ht="12" customHeight="1" thickBot="1">
      <c r="A91" s="217" t="s">
        <v>245</v>
      </c>
      <c r="B91" s="107" t="s">
        <v>378</v>
      </c>
      <c r="C91" s="219"/>
      <c r="D91" s="219"/>
      <c r="E91" s="220"/>
    </row>
    <row r="92" spans="1:5" s="175" customFormat="1" ht="13.5" customHeight="1" thickBot="1">
      <c r="A92" s="217" t="s">
        <v>247</v>
      </c>
      <c r="B92" s="107" t="s">
        <v>246</v>
      </c>
      <c r="C92" s="219"/>
      <c r="D92" s="219"/>
      <c r="E92" s="220"/>
    </row>
    <row r="93" spans="1:5" s="175" customFormat="1" ht="15.75" customHeight="1" thickBot="1">
      <c r="A93" s="217" t="s">
        <v>259</v>
      </c>
      <c r="B93" s="183" t="s">
        <v>381</v>
      </c>
      <c r="C93" s="169">
        <f>+C70+C74+C79+C82+C86+C92+C91</f>
        <v>0</v>
      </c>
      <c r="D93" s="169">
        <f>+D70+D74+D79+D82+D86+D92+D91</f>
        <v>0</v>
      </c>
      <c r="E93" s="205">
        <f>+E70+E74+E79+E82+E86+E92+E91</f>
        <v>0</v>
      </c>
    </row>
    <row r="94" spans="1:5" s="175" customFormat="1" ht="25.5" customHeight="1" thickBot="1">
      <c r="A94" s="218" t="s">
        <v>380</v>
      </c>
      <c r="B94" s="184" t="s">
        <v>382</v>
      </c>
      <c r="C94" s="169">
        <f>+C69+C93</f>
        <v>0</v>
      </c>
      <c r="D94" s="169">
        <f>+D69+D93</f>
        <v>0</v>
      </c>
      <c r="E94" s="205">
        <f>+E69+E93</f>
        <v>0</v>
      </c>
    </row>
    <row r="95" spans="1:3" s="175" customFormat="1" ht="15" customHeight="1">
      <c r="A95" s="3"/>
      <c r="B95" s="4"/>
      <c r="C95" s="111"/>
    </row>
    <row r="96" spans="1:5" ht="16.5" customHeight="1">
      <c r="A96" s="824" t="s">
        <v>34</v>
      </c>
      <c r="B96" s="824"/>
      <c r="C96" s="824"/>
      <c r="D96" s="824"/>
      <c r="E96" s="824"/>
    </row>
    <row r="97" spans="1:5" s="185" customFormat="1" ht="16.5" customHeight="1" thickBot="1">
      <c r="A97" s="826" t="s">
        <v>103</v>
      </c>
      <c r="B97" s="826"/>
      <c r="C97" s="58"/>
      <c r="E97" s="58" t="str">
        <f>E7</f>
        <v> Forintban!</v>
      </c>
    </row>
    <row r="98" spans="1:5" ht="15.75">
      <c r="A98" s="833" t="s">
        <v>52</v>
      </c>
      <c r="B98" s="835" t="s">
        <v>418</v>
      </c>
      <c r="C98" s="819" t="str">
        <f>+CONCATENATE(LEFT(Z_ÖSSZEFÜGGÉSEK!A6,4),". évi")</f>
        <v>2019. évi</v>
      </c>
      <c r="D98" s="820"/>
      <c r="E98" s="821"/>
    </row>
    <row r="99" spans="1:5" ht="24.75" thickBot="1">
      <c r="A99" s="834"/>
      <c r="B99" s="836"/>
      <c r="C99" s="246" t="s">
        <v>416</v>
      </c>
      <c r="D99" s="245" t="s">
        <v>417</v>
      </c>
      <c r="E99" s="327" t="str">
        <f>CONCATENATE(E9)</f>
        <v>2019. XII. 31.
teljesítés</v>
      </c>
    </row>
    <row r="100" spans="1:5" s="174" customFormat="1" ht="12" customHeight="1" thickBot="1">
      <c r="A100" s="24" t="s">
        <v>387</v>
      </c>
      <c r="B100" s="25" t="s">
        <v>388</v>
      </c>
      <c r="C100" s="25" t="s">
        <v>389</v>
      </c>
      <c r="D100" s="25" t="s">
        <v>391</v>
      </c>
      <c r="E100" s="257" t="s">
        <v>390</v>
      </c>
    </row>
    <row r="101" spans="1:5" ht="12" customHeight="1" thickBot="1">
      <c r="A101" s="20" t="s">
        <v>6</v>
      </c>
      <c r="B101" s="23" t="s">
        <v>340</v>
      </c>
      <c r="C101" s="162">
        <f>C102+C103+C104+C105+C106+C119</f>
        <v>1630000</v>
      </c>
      <c r="D101" s="162">
        <f>D102+D103+D104+D105+D106+D119</f>
        <v>1680000</v>
      </c>
      <c r="E101" s="232">
        <f>E102+E103+E104+E105+E106+E119</f>
        <v>1670000</v>
      </c>
    </row>
    <row r="102" spans="1:5" ht="12" customHeight="1">
      <c r="A102" s="15" t="s">
        <v>64</v>
      </c>
      <c r="B102" s="8" t="s">
        <v>35</v>
      </c>
      <c r="C102" s="239"/>
      <c r="D102" s="239"/>
      <c r="E102" s="233"/>
    </row>
    <row r="103" spans="1:5" ht="12" customHeight="1">
      <c r="A103" s="12" t="s">
        <v>65</v>
      </c>
      <c r="B103" s="6" t="s">
        <v>124</v>
      </c>
      <c r="C103" s="164"/>
      <c r="D103" s="164"/>
      <c r="E103" s="101"/>
    </row>
    <row r="104" spans="1:5" ht="12" customHeight="1">
      <c r="A104" s="12" t="s">
        <v>66</v>
      </c>
      <c r="B104" s="6" t="s">
        <v>92</v>
      </c>
      <c r="C104" s="166"/>
      <c r="D104" s="166"/>
      <c r="E104" s="103"/>
    </row>
    <row r="105" spans="1:5" ht="12" customHeight="1">
      <c r="A105" s="12" t="s">
        <v>67</v>
      </c>
      <c r="B105" s="9" t="s">
        <v>125</v>
      </c>
      <c r="C105" s="166">
        <v>1630000</v>
      </c>
      <c r="D105" s="166">
        <v>1680000</v>
      </c>
      <c r="E105" s="103">
        <v>1670000</v>
      </c>
    </row>
    <row r="106" spans="1:5" ht="12" customHeight="1">
      <c r="A106" s="12" t="s">
        <v>76</v>
      </c>
      <c r="B106" s="17" t="s">
        <v>126</v>
      </c>
      <c r="C106" s="166"/>
      <c r="D106" s="166"/>
      <c r="E106" s="103"/>
    </row>
    <row r="107" spans="1:5" ht="12" customHeight="1">
      <c r="A107" s="12" t="s">
        <v>68</v>
      </c>
      <c r="B107" s="6" t="s">
        <v>345</v>
      </c>
      <c r="C107" s="166"/>
      <c r="D107" s="166"/>
      <c r="E107" s="103"/>
    </row>
    <row r="108" spans="1:5" ht="12" customHeight="1">
      <c r="A108" s="12" t="s">
        <v>69</v>
      </c>
      <c r="B108" s="62" t="s">
        <v>344</v>
      </c>
      <c r="C108" s="166"/>
      <c r="D108" s="166"/>
      <c r="E108" s="103"/>
    </row>
    <row r="109" spans="1:5" ht="12" customHeight="1">
      <c r="A109" s="12" t="s">
        <v>77</v>
      </c>
      <c r="B109" s="62" t="s">
        <v>343</v>
      </c>
      <c r="C109" s="166"/>
      <c r="D109" s="166"/>
      <c r="E109" s="103"/>
    </row>
    <row r="110" spans="1:5" ht="12" customHeight="1">
      <c r="A110" s="12" t="s">
        <v>78</v>
      </c>
      <c r="B110" s="60" t="s">
        <v>262</v>
      </c>
      <c r="C110" s="166"/>
      <c r="D110" s="166"/>
      <c r="E110" s="103"/>
    </row>
    <row r="111" spans="1:5" ht="12" customHeight="1">
      <c r="A111" s="12" t="s">
        <v>79</v>
      </c>
      <c r="B111" s="61" t="s">
        <v>263</v>
      </c>
      <c r="C111" s="166"/>
      <c r="D111" s="166"/>
      <c r="E111" s="103"/>
    </row>
    <row r="112" spans="1:5" ht="12" customHeight="1">
      <c r="A112" s="12" t="s">
        <v>80</v>
      </c>
      <c r="B112" s="61" t="s">
        <v>264</v>
      </c>
      <c r="C112" s="166"/>
      <c r="D112" s="166"/>
      <c r="E112" s="103"/>
    </row>
    <row r="113" spans="1:5" ht="12" customHeight="1">
      <c r="A113" s="12" t="s">
        <v>82</v>
      </c>
      <c r="B113" s="60" t="s">
        <v>265</v>
      </c>
      <c r="C113" s="166"/>
      <c r="D113" s="166"/>
      <c r="E113" s="103"/>
    </row>
    <row r="114" spans="1:5" ht="12" customHeight="1">
      <c r="A114" s="12" t="s">
        <v>127</v>
      </c>
      <c r="B114" s="60" t="s">
        <v>266</v>
      </c>
      <c r="C114" s="166"/>
      <c r="D114" s="166"/>
      <c r="E114" s="103"/>
    </row>
    <row r="115" spans="1:5" ht="12" customHeight="1">
      <c r="A115" s="12" t="s">
        <v>260</v>
      </c>
      <c r="B115" s="61" t="s">
        <v>267</v>
      </c>
      <c r="C115" s="166"/>
      <c r="D115" s="166"/>
      <c r="E115" s="103"/>
    </row>
    <row r="116" spans="1:5" ht="12" customHeight="1">
      <c r="A116" s="11" t="s">
        <v>261</v>
      </c>
      <c r="B116" s="62" t="s">
        <v>268</v>
      </c>
      <c r="C116" s="166"/>
      <c r="D116" s="166"/>
      <c r="E116" s="103"/>
    </row>
    <row r="117" spans="1:5" ht="12" customHeight="1">
      <c r="A117" s="12" t="s">
        <v>341</v>
      </c>
      <c r="B117" s="62" t="s">
        <v>269</v>
      </c>
      <c r="C117" s="166"/>
      <c r="D117" s="166"/>
      <c r="E117" s="103"/>
    </row>
    <row r="118" spans="1:5" ht="12" customHeight="1">
      <c r="A118" s="14" t="s">
        <v>342</v>
      </c>
      <c r="B118" s="62" t="s">
        <v>270</v>
      </c>
      <c r="C118" s="166">
        <v>1630000</v>
      </c>
      <c r="D118" s="166">
        <v>1680000</v>
      </c>
      <c r="E118" s="103">
        <v>1670000</v>
      </c>
    </row>
    <row r="119" spans="1:5" ht="12" customHeight="1">
      <c r="A119" s="12" t="s">
        <v>346</v>
      </c>
      <c r="B119" s="9" t="s">
        <v>36</v>
      </c>
      <c r="C119" s="164"/>
      <c r="D119" s="164"/>
      <c r="E119" s="101"/>
    </row>
    <row r="120" spans="1:5" ht="12" customHeight="1">
      <c r="A120" s="12" t="s">
        <v>347</v>
      </c>
      <c r="B120" s="6" t="s">
        <v>349</v>
      </c>
      <c r="C120" s="164"/>
      <c r="D120" s="164"/>
      <c r="E120" s="101"/>
    </row>
    <row r="121" spans="1:5" ht="12" customHeight="1" thickBot="1">
      <c r="A121" s="16" t="s">
        <v>348</v>
      </c>
      <c r="B121" s="228" t="s">
        <v>350</v>
      </c>
      <c r="C121" s="240"/>
      <c r="D121" s="240"/>
      <c r="E121" s="234"/>
    </row>
    <row r="122" spans="1:5" ht="12" customHeight="1" thickBot="1">
      <c r="A122" s="226" t="s">
        <v>7</v>
      </c>
      <c r="B122" s="227" t="s">
        <v>271</v>
      </c>
      <c r="C122" s="241">
        <f>+C123+C125+C127</f>
        <v>0</v>
      </c>
      <c r="D122" s="163">
        <f>+D123+D125+D127</f>
        <v>0</v>
      </c>
      <c r="E122" s="235">
        <f>+E123+E125+E127</f>
        <v>0</v>
      </c>
    </row>
    <row r="123" spans="1:5" ht="12" customHeight="1">
      <c r="A123" s="13" t="s">
        <v>70</v>
      </c>
      <c r="B123" s="6" t="s">
        <v>145</v>
      </c>
      <c r="C123" s="165"/>
      <c r="D123" s="250"/>
      <c r="E123" s="102"/>
    </row>
    <row r="124" spans="1:5" ht="12" customHeight="1">
      <c r="A124" s="13" t="s">
        <v>71</v>
      </c>
      <c r="B124" s="10" t="s">
        <v>275</v>
      </c>
      <c r="C124" s="165"/>
      <c r="D124" s="250"/>
      <c r="E124" s="102"/>
    </row>
    <row r="125" spans="1:5" ht="12" customHeight="1">
      <c r="A125" s="13" t="s">
        <v>72</v>
      </c>
      <c r="B125" s="10" t="s">
        <v>128</v>
      </c>
      <c r="C125" s="164"/>
      <c r="D125" s="251"/>
      <c r="E125" s="101"/>
    </row>
    <row r="126" spans="1:5" ht="12" customHeight="1">
      <c r="A126" s="13" t="s">
        <v>73</v>
      </c>
      <c r="B126" s="10" t="s">
        <v>276</v>
      </c>
      <c r="C126" s="164"/>
      <c r="D126" s="251"/>
      <c r="E126" s="101"/>
    </row>
    <row r="127" spans="1:5" ht="12" customHeight="1">
      <c r="A127" s="13" t="s">
        <v>74</v>
      </c>
      <c r="B127" s="109" t="s">
        <v>147</v>
      </c>
      <c r="C127" s="164"/>
      <c r="D127" s="251"/>
      <c r="E127" s="101"/>
    </row>
    <row r="128" spans="1:5" ht="12" customHeight="1">
      <c r="A128" s="13" t="s">
        <v>81</v>
      </c>
      <c r="B128" s="108" t="s">
        <v>334</v>
      </c>
      <c r="C128" s="164"/>
      <c r="D128" s="251"/>
      <c r="E128" s="101"/>
    </row>
    <row r="129" spans="1:5" ht="12" customHeight="1">
      <c r="A129" s="13" t="s">
        <v>83</v>
      </c>
      <c r="B129" s="172" t="s">
        <v>281</v>
      </c>
      <c r="C129" s="164"/>
      <c r="D129" s="251"/>
      <c r="E129" s="101"/>
    </row>
    <row r="130" spans="1:5" ht="15.75">
      <c r="A130" s="13" t="s">
        <v>129</v>
      </c>
      <c r="B130" s="61" t="s">
        <v>264</v>
      </c>
      <c r="C130" s="164"/>
      <c r="D130" s="251"/>
      <c r="E130" s="101"/>
    </row>
    <row r="131" spans="1:5" ht="12" customHeight="1">
      <c r="A131" s="13" t="s">
        <v>130</v>
      </c>
      <c r="B131" s="61" t="s">
        <v>280</v>
      </c>
      <c r="C131" s="164"/>
      <c r="D131" s="251"/>
      <c r="E131" s="101"/>
    </row>
    <row r="132" spans="1:5" ht="12" customHeight="1">
      <c r="A132" s="13" t="s">
        <v>131</v>
      </c>
      <c r="B132" s="61" t="s">
        <v>279</v>
      </c>
      <c r="C132" s="164"/>
      <c r="D132" s="251"/>
      <c r="E132" s="101"/>
    </row>
    <row r="133" spans="1:5" ht="12" customHeight="1">
      <c r="A133" s="13" t="s">
        <v>272</v>
      </c>
      <c r="B133" s="61" t="s">
        <v>267</v>
      </c>
      <c r="C133" s="164"/>
      <c r="D133" s="251"/>
      <c r="E133" s="101"/>
    </row>
    <row r="134" spans="1:5" ht="12" customHeight="1">
      <c r="A134" s="13" t="s">
        <v>273</v>
      </c>
      <c r="B134" s="61" t="s">
        <v>278</v>
      </c>
      <c r="C134" s="164"/>
      <c r="D134" s="251"/>
      <c r="E134" s="101"/>
    </row>
    <row r="135" spans="1:5" ht="16.5" thickBot="1">
      <c r="A135" s="11" t="s">
        <v>274</v>
      </c>
      <c r="B135" s="61" t="s">
        <v>277</v>
      </c>
      <c r="C135" s="166"/>
      <c r="D135" s="252"/>
      <c r="E135" s="103"/>
    </row>
    <row r="136" spans="1:5" ht="12" customHeight="1" thickBot="1">
      <c r="A136" s="18" t="s">
        <v>8</v>
      </c>
      <c r="B136" s="56" t="s">
        <v>351</v>
      </c>
      <c r="C136" s="163">
        <f>+C101+C122</f>
        <v>1630000</v>
      </c>
      <c r="D136" s="249">
        <f>+D101+D122</f>
        <v>1680000</v>
      </c>
      <c r="E136" s="100">
        <f>+E101+E122</f>
        <v>1670000</v>
      </c>
    </row>
    <row r="137" spans="1:5" ht="12" customHeight="1" thickBot="1">
      <c r="A137" s="18" t="s">
        <v>9</v>
      </c>
      <c r="B137" s="56" t="s">
        <v>419</v>
      </c>
      <c r="C137" s="163">
        <f>+C138+C139+C140</f>
        <v>0</v>
      </c>
      <c r="D137" s="249">
        <f>+D138+D139+D140</f>
        <v>0</v>
      </c>
      <c r="E137" s="100">
        <f>+E138+E139+E140</f>
        <v>0</v>
      </c>
    </row>
    <row r="138" spans="1:5" ht="12" customHeight="1">
      <c r="A138" s="13" t="s">
        <v>179</v>
      </c>
      <c r="B138" s="10" t="s">
        <v>359</v>
      </c>
      <c r="C138" s="164"/>
      <c r="D138" s="251"/>
      <c r="E138" s="101"/>
    </row>
    <row r="139" spans="1:5" ht="12" customHeight="1">
      <c r="A139" s="13" t="s">
        <v>180</v>
      </c>
      <c r="B139" s="10" t="s">
        <v>360</v>
      </c>
      <c r="C139" s="164"/>
      <c r="D139" s="251"/>
      <c r="E139" s="101"/>
    </row>
    <row r="140" spans="1:5" ht="12" customHeight="1" thickBot="1">
      <c r="A140" s="11" t="s">
        <v>181</v>
      </c>
      <c r="B140" s="10" t="s">
        <v>361</v>
      </c>
      <c r="C140" s="164"/>
      <c r="D140" s="251"/>
      <c r="E140" s="101"/>
    </row>
    <row r="141" spans="1:5" ht="12" customHeight="1" thickBot="1">
      <c r="A141" s="18" t="s">
        <v>10</v>
      </c>
      <c r="B141" s="56" t="s">
        <v>353</v>
      </c>
      <c r="C141" s="163">
        <f>SUM(C142:C147)</f>
        <v>0</v>
      </c>
      <c r="D141" s="249">
        <f>SUM(D142:D147)</f>
        <v>0</v>
      </c>
      <c r="E141" s="100">
        <f>SUM(E142:E147)</f>
        <v>0</v>
      </c>
    </row>
    <row r="142" spans="1:5" ht="12" customHeight="1">
      <c r="A142" s="13" t="s">
        <v>57</v>
      </c>
      <c r="B142" s="7" t="s">
        <v>362</v>
      </c>
      <c r="C142" s="164"/>
      <c r="D142" s="251"/>
      <c r="E142" s="101"/>
    </row>
    <row r="143" spans="1:5" ht="12" customHeight="1">
      <c r="A143" s="13" t="s">
        <v>58</v>
      </c>
      <c r="B143" s="7" t="s">
        <v>354</v>
      </c>
      <c r="C143" s="164"/>
      <c r="D143" s="251"/>
      <c r="E143" s="101"/>
    </row>
    <row r="144" spans="1:5" ht="12" customHeight="1">
      <c r="A144" s="13" t="s">
        <v>59</v>
      </c>
      <c r="B144" s="7" t="s">
        <v>355</v>
      </c>
      <c r="C144" s="164"/>
      <c r="D144" s="251"/>
      <c r="E144" s="101"/>
    </row>
    <row r="145" spans="1:5" ht="12" customHeight="1">
      <c r="A145" s="13" t="s">
        <v>116</v>
      </c>
      <c r="B145" s="7" t="s">
        <v>356</v>
      </c>
      <c r="C145" s="164"/>
      <c r="D145" s="251"/>
      <c r="E145" s="101"/>
    </row>
    <row r="146" spans="1:5" ht="12" customHeight="1">
      <c r="A146" s="13" t="s">
        <v>117</v>
      </c>
      <c r="B146" s="7" t="s">
        <v>357</v>
      </c>
      <c r="C146" s="164"/>
      <c r="D146" s="251"/>
      <c r="E146" s="101"/>
    </row>
    <row r="147" spans="1:5" ht="12" customHeight="1" thickBot="1">
      <c r="A147" s="16" t="s">
        <v>118</v>
      </c>
      <c r="B147" s="337" t="s">
        <v>358</v>
      </c>
      <c r="C147" s="240"/>
      <c r="D147" s="313"/>
      <c r="E147" s="234"/>
    </row>
    <row r="148" spans="1:5" ht="12" customHeight="1" thickBot="1">
      <c r="A148" s="18" t="s">
        <v>11</v>
      </c>
      <c r="B148" s="56" t="s">
        <v>366</v>
      </c>
      <c r="C148" s="169">
        <f>+C149+C150+C151+C152</f>
        <v>0</v>
      </c>
      <c r="D148" s="253">
        <f>+D149+D150+D151+D152</f>
        <v>0</v>
      </c>
      <c r="E148" s="205">
        <f>+E149+E150+E151+E152</f>
        <v>0</v>
      </c>
    </row>
    <row r="149" spans="1:5" ht="12" customHeight="1">
      <c r="A149" s="13" t="s">
        <v>60</v>
      </c>
      <c r="B149" s="7" t="s">
        <v>282</v>
      </c>
      <c r="C149" s="164"/>
      <c r="D149" s="251"/>
      <c r="E149" s="101"/>
    </row>
    <row r="150" spans="1:5" ht="12" customHeight="1">
      <c r="A150" s="13" t="s">
        <v>61</v>
      </c>
      <c r="B150" s="7" t="s">
        <v>283</v>
      </c>
      <c r="C150" s="164"/>
      <c r="D150" s="251"/>
      <c r="E150" s="101"/>
    </row>
    <row r="151" spans="1:5" ht="12" customHeight="1">
      <c r="A151" s="13" t="s">
        <v>199</v>
      </c>
      <c r="B151" s="7" t="s">
        <v>367</v>
      </c>
      <c r="C151" s="164"/>
      <c r="D151" s="251"/>
      <c r="E151" s="101"/>
    </row>
    <row r="152" spans="1:5" ht="12" customHeight="1" thickBot="1">
      <c r="A152" s="11" t="s">
        <v>200</v>
      </c>
      <c r="B152" s="5" t="s">
        <v>299</v>
      </c>
      <c r="C152" s="164"/>
      <c r="D152" s="251"/>
      <c r="E152" s="101"/>
    </row>
    <row r="153" spans="1:5" ht="12" customHeight="1" thickBot="1">
      <c r="A153" s="18" t="s">
        <v>12</v>
      </c>
      <c r="B153" s="56" t="s">
        <v>368</v>
      </c>
      <c r="C153" s="242">
        <f>SUM(C154:C158)</f>
        <v>0</v>
      </c>
      <c r="D153" s="254">
        <f>SUM(D154:D158)</f>
        <v>0</v>
      </c>
      <c r="E153" s="236">
        <f>SUM(E154:E158)</f>
        <v>0</v>
      </c>
    </row>
    <row r="154" spans="1:5" ht="12" customHeight="1">
      <c r="A154" s="13" t="s">
        <v>62</v>
      </c>
      <c r="B154" s="7" t="s">
        <v>363</v>
      </c>
      <c r="C154" s="164"/>
      <c r="D154" s="251"/>
      <c r="E154" s="101"/>
    </row>
    <row r="155" spans="1:5" ht="12" customHeight="1">
      <c r="A155" s="13" t="s">
        <v>63</v>
      </c>
      <c r="B155" s="7" t="s">
        <v>370</v>
      </c>
      <c r="C155" s="164"/>
      <c r="D155" s="251"/>
      <c r="E155" s="101"/>
    </row>
    <row r="156" spans="1:5" ht="12" customHeight="1">
      <c r="A156" s="13" t="s">
        <v>211</v>
      </c>
      <c r="B156" s="7" t="s">
        <v>365</v>
      </c>
      <c r="C156" s="164"/>
      <c r="D156" s="251"/>
      <c r="E156" s="101"/>
    </row>
    <row r="157" spans="1:5" ht="12" customHeight="1">
      <c r="A157" s="13" t="s">
        <v>212</v>
      </c>
      <c r="B157" s="7" t="s">
        <v>371</v>
      </c>
      <c r="C157" s="164"/>
      <c r="D157" s="251"/>
      <c r="E157" s="101"/>
    </row>
    <row r="158" spans="1:5" ht="12" customHeight="1" thickBot="1">
      <c r="A158" s="13" t="s">
        <v>369</v>
      </c>
      <c r="B158" s="7" t="s">
        <v>372</v>
      </c>
      <c r="C158" s="164"/>
      <c r="D158" s="251"/>
      <c r="E158" s="101"/>
    </row>
    <row r="159" spans="1:5" ht="12" customHeight="1" thickBot="1">
      <c r="A159" s="18" t="s">
        <v>13</v>
      </c>
      <c r="B159" s="56" t="s">
        <v>373</v>
      </c>
      <c r="C159" s="243"/>
      <c r="D159" s="255"/>
      <c r="E159" s="237"/>
    </row>
    <row r="160" spans="1:5" ht="12" customHeight="1" thickBot="1">
      <c r="A160" s="18" t="s">
        <v>14</v>
      </c>
      <c r="B160" s="56" t="s">
        <v>374</v>
      </c>
      <c r="C160" s="243"/>
      <c r="D160" s="255"/>
      <c r="E160" s="237"/>
    </row>
    <row r="161" spans="1:9" ht="15" customHeight="1" thickBot="1">
      <c r="A161" s="18" t="s">
        <v>15</v>
      </c>
      <c r="B161" s="56" t="s">
        <v>376</v>
      </c>
      <c r="C161" s="244">
        <f>+C137+C141+C148+C153+C159+C160</f>
        <v>0</v>
      </c>
      <c r="D161" s="256">
        <f>+D137+D141+D148+D153+D159+D160</f>
        <v>0</v>
      </c>
      <c r="E161" s="238">
        <f>+E137+E141+E148+E153+E159+E160</f>
        <v>0</v>
      </c>
      <c r="F161" s="186"/>
      <c r="G161" s="187"/>
      <c r="H161" s="187"/>
      <c r="I161" s="187"/>
    </row>
    <row r="162" spans="1:5" s="175" customFormat="1" ht="12.75" customHeight="1" thickBot="1">
      <c r="A162" s="110" t="s">
        <v>16</v>
      </c>
      <c r="B162" s="150" t="s">
        <v>375</v>
      </c>
      <c r="C162" s="244">
        <f>+C136+C161</f>
        <v>1630000</v>
      </c>
      <c r="D162" s="256">
        <f>+D136+D161</f>
        <v>1680000</v>
      </c>
      <c r="E162" s="238">
        <f>+E136+E161</f>
        <v>1670000</v>
      </c>
    </row>
    <row r="163" spans="3:4" ht="15.75">
      <c r="C163" s="668"/>
      <c r="D163" s="668"/>
    </row>
    <row r="164" spans="1:5" ht="15.75">
      <c r="A164" s="822" t="s">
        <v>284</v>
      </c>
      <c r="B164" s="822"/>
      <c r="C164" s="822"/>
      <c r="D164" s="822"/>
      <c r="E164" s="822"/>
    </row>
    <row r="165" spans="1:5" ht="15" customHeight="1" thickBot="1">
      <c r="A165" s="832" t="s">
        <v>104</v>
      </c>
      <c r="B165" s="832"/>
      <c r="C165" s="112"/>
      <c r="E165" s="112" t="str">
        <f>E97</f>
        <v> Forintban!</v>
      </c>
    </row>
    <row r="166" spans="1:5" ht="25.5" customHeight="1" thickBot="1">
      <c r="A166" s="18">
        <v>1</v>
      </c>
      <c r="B166" s="22" t="s">
        <v>377</v>
      </c>
      <c r="C166" s="248">
        <f>+C69-C136</f>
        <v>-1630000</v>
      </c>
      <c r="D166" s="163">
        <f>+D69-D136</f>
        <v>-1680000</v>
      </c>
      <c r="E166" s="100">
        <f>+E69-E136</f>
        <v>-1670000</v>
      </c>
    </row>
    <row r="167" spans="1:5" ht="32.25" customHeight="1" thickBot="1">
      <c r="A167" s="18" t="s">
        <v>7</v>
      </c>
      <c r="B167" s="22" t="s">
        <v>383</v>
      </c>
      <c r="C167" s="163">
        <f>+C93-C161</f>
        <v>0</v>
      </c>
      <c r="D167" s="163">
        <f>+D93-D161</f>
        <v>0</v>
      </c>
      <c r="E167" s="100">
        <f>+E93-E161</f>
        <v>0</v>
      </c>
    </row>
  </sheetData>
  <sheetProtection selectLockedCells="1" selectUnlockedCells="1"/>
  <mergeCells count="16">
    <mergeCell ref="A164:E164"/>
    <mergeCell ref="A165:B165"/>
    <mergeCell ref="A8:A9"/>
    <mergeCell ref="B8:B9"/>
    <mergeCell ref="C8:E8"/>
    <mergeCell ref="A96:E96"/>
    <mergeCell ref="A97:B97"/>
    <mergeCell ref="A98:A99"/>
    <mergeCell ref="B98:B99"/>
    <mergeCell ref="C98:E98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9" max="4" man="1"/>
    <brk id="14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30" workbookViewId="0" topLeftCell="C1">
      <selection activeCell="E4" sqref="E4"/>
    </sheetView>
  </sheetViews>
  <sheetFormatPr defaultColWidth="9.00390625" defaultRowHeight="12.75"/>
  <cols>
    <col min="1" max="1" width="6.875" style="32" customWidth="1"/>
    <col min="2" max="2" width="48.00390625" style="69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9.75" customHeight="1">
      <c r="A1" s="362"/>
      <c r="B1" s="368" t="s">
        <v>108</v>
      </c>
      <c r="C1" s="369"/>
      <c r="D1" s="369"/>
      <c r="E1" s="369"/>
      <c r="F1" s="369"/>
      <c r="G1" s="369"/>
      <c r="H1" s="369"/>
      <c r="I1" s="369"/>
      <c r="J1" s="840" t="str">
        <f>CONCATENATE("2.1. melléklet ",Z_ALAPADATOK!A7," ",Z_ALAPADATOK!B7," ",Z_ALAPADATOK!C7," ",Z_ALAPADATOK!D7," ",Z_ALAPADATOK!E7," ",Z_ALAPADATOK!F7," ",Z_ALAPADATOK!G7," ",Z_ALAPADATOK!H7)</f>
        <v>2.1. melléklet a 12 / 2020. ( VII.16. ) önkormányzati rendelethez</v>
      </c>
    </row>
    <row r="2" spans="1:10" ht="14.25" thickBot="1">
      <c r="A2" s="362"/>
      <c r="B2" s="361"/>
      <c r="C2" s="362"/>
      <c r="D2" s="362"/>
      <c r="E2" s="362"/>
      <c r="F2" s="362"/>
      <c r="G2" s="370"/>
      <c r="H2" s="370"/>
      <c r="I2" s="370" t="s">
        <v>850</v>
      </c>
      <c r="J2" s="840"/>
    </row>
    <row r="3" spans="1:10" ht="18" customHeight="1" thickBot="1">
      <c r="A3" s="837" t="s">
        <v>52</v>
      </c>
      <c r="B3" s="371" t="s">
        <v>40</v>
      </c>
      <c r="C3" s="372"/>
      <c r="D3" s="373"/>
      <c r="E3" s="373"/>
      <c r="F3" s="371" t="s">
        <v>41</v>
      </c>
      <c r="G3" s="374"/>
      <c r="H3" s="375"/>
      <c r="I3" s="376"/>
      <c r="J3" s="840"/>
    </row>
    <row r="4" spans="1:10" s="119" customFormat="1" ht="35.25" customHeight="1" thickBot="1">
      <c r="A4" s="838"/>
      <c r="B4" s="364" t="s">
        <v>45</v>
      </c>
      <c r="C4" s="330" t="str">
        <f>+CONCATENATE('Z_1.1.sz.mell.'!C8," eredeti előirányzat")</f>
        <v>2019. évi eredeti előirányzat</v>
      </c>
      <c r="D4" s="328" t="str">
        <f>+CONCATENATE('Z_1.1.sz.mell.'!C8," módosított előirányzat")</f>
        <v>2019. évi módosított előirányzat</v>
      </c>
      <c r="E4" s="328">
        <v>58986000</v>
      </c>
      <c r="F4" s="364" t="s">
        <v>45</v>
      </c>
      <c r="G4" s="330" t="str">
        <f>+C4</f>
        <v>2019. évi eredeti előirányzat</v>
      </c>
      <c r="H4" s="330" t="str">
        <f>+D4</f>
        <v>2019. évi módosított előirányzat</v>
      </c>
      <c r="I4" s="329">
        <f>+E4</f>
        <v>58986000</v>
      </c>
      <c r="J4" s="840"/>
    </row>
    <row r="5" spans="1:10" s="120" customFormat="1" ht="12" customHeight="1" thickBot="1">
      <c r="A5" s="377" t="s">
        <v>387</v>
      </c>
      <c r="B5" s="378" t="s">
        <v>388</v>
      </c>
      <c r="C5" s="379" t="s">
        <v>389</v>
      </c>
      <c r="D5" s="382" t="s">
        <v>391</v>
      </c>
      <c r="E5" s="382" t="s">
        <v>390</v>
      </c>
      <c r="F5" s="378" t="s">
        <v>420</v>
      </c>
      <c r="G5" s="379" t="s">
        <v>393</v>
      </c>
      <c r="H5" s="379" t="s">
        <v>394</v>
      </c>
      <c r="I5" s="383" t="s">
        <v>421</v>
      </c>
      <c r="J5" s="840"/>
    </row>
    <row r="6" spans="1:10" ht="12.75" customHeight="1">
      <c r="A6" s="121" t="s">
        <v>6</v>
      </c>
      <c r="B6" s="122" t="s">
        <v>285</v>
      </c>
      <c r="C6" s="113">
        <v>173789722</v>
      </c>
      <c r="D6" s="113">
        <v>186371785</v>
      </c>
      <c r="E6" s="113">
        <v>186371785</v>
      </c>
      <c r="F6" s="122" t="s">
        <v>46</v>
      </c>
      <c r="G6" s="113">
        <v>68910000</v>
      </c>
      <c r="H6" s="113">
        <v>76956000</v>
      </c>
      <c r="I6" s="259">
        <v>76233998</v>
      </c>
      <c r="J6" s="840"/>
    </row>
    <row r="7" spans="1:10" ht="12.75" customHeight="1">
      <c r="A7" s="123" t="s">
        <v>7</v>
      </c>
      <c r="B7" s="124" t="s">
        <v>286</v>
      </c>
      <c r="C7" s="114">
        <v>15388366</v>
      </c>
      <c r="D7" s="114">
        <v>27538645</v>
      </c>
      <c r="E7" s="114">
        <v>28240568</v>
      </c>
      <c r="F7" s="124" t="s">
        <v>124</v>
      </c>
      <c r="G7" s="114">
        <v>12590000</v>
      </c>
      <c r="H7" s="114">
        <v>13650000</v>
      </c>
      <c r="I7" s="260">
        <v>13310321</v>
      </c>
      <c r="J7" s="840"/>
    </row>
    <row r="8" spans="1:10" ht="12.75" customHeight="1">
      <c r="A8" s="123" t="s">
        <v>8</v>
      </c>
      <c r="B8" s="124" t="s">
        <v>304</v>
      </c>
      <c r="C8" s="114">
        <v>0</v>
      </c>
      <c r="D8" s="114">
        <v>4000000</v>
      </c>
      <c r="E8" s="114">
        <v>4000000</v>
      </c>
      <c r="F8" s="124" t="s">
        <v>150</v>
      </c>
      <c r="G8" s="114">
        <v>46542239</v>
      </c>
      <c r="H8" s="114">
        <v>52582150</v>
      </c>
      <c r="I8" s="260">
        <v>47048175</v>
      </c>
      <c r="J8" s="840"/>
    </row>
    <row r="9" spans="1:10" ht="12.75" customHeight="1">
      <c r="A9" s="123" t="s">
        <v>9</v>
      </c>
      <c r="B9" s="124" t="s">
        <v>115</v>
      </c>
      <c r="C9" s="114">
        <v>23500000</v>
      </c>
      <c r="D9" s="114">
        <v>23500000</v>
      </c>
      <c r="E9" s="114">
        <v>30914145</v>
      </c>
      <c r="F9" s="124" t="s">
        <v>125</v>
      </c>
      <c r="G9" s="114">
        <v>3450000</v>
      </c>
      <c r="H9" s="114">
        <v>3450000</v>
      </c>
      <c r="I9" s="260">
        <v>2908500</v>
      </c>
      <c r="J9" s="840"/>
    </row>
    <row r="10" spans="1:10" ht="12.75" customHeight="1">
      <c r="A10" s="123" t="s">
        <v>10</v>
      </c>
      <c r="B10" s="125" t="s">
        <v>327</v>
      </c>
      <c r="C10" s="114">
        <v>8598500</v>
      </c>
      <c r="D10" s="114">
        <v>8598500</v>
      </c>
      <c r="E10" s="114">
        <v>10136830</v>
      </c>
      <c r="F10" s="124" t="s">
        <v>126</v>
      </c>
      <c r="G10" s="114">
        <v>111841846</v>
      </c>
      <c r="H10" s="114">
        <v>111005000</v>
      </c>
      <c r="I10" s="260">
        <v>110463727</v>
      </c>
      <c r="J10" s="840"/>
    </row>
    <row r="11" spans="1:10" ht="12.75" customHeight="1">
      <c r="A11" s="123" t="s">
        <v>11</v>
      </c>
      <c r="B11" s="124" t="s">
        <v>287</v>
      </c>
      <c r="C11" s="115">
        <v>400000</v>
      </c>
      <c r="D11" s="115">
        <v>400000</v>
      </c>
      <c r="E11" s="115">
        <v>257713</v>
      </c>
      <c r="F11" s="124" t="s">
        <v>36</v>
      </c>
      <c r="G11" s="114">
        <v>106315961</v>
      </c>
      <c r="H11" s="114">
        <v>342419000</v>
      </c>
      <c r="I11" s="260">
        <v>0</v>
      </c>
      <c r="J11" s="840"/>
    </row>
    <row r="12" spans="1:10" ht="12.75" customHeight="1">
      <c r="A12" s="123" t="s">
        <v>12</v>
      </c>
      <c r="B12" s="124" t="s">
        <v>384</v>
      </c>
      <c r="C12" s="114">
        <v>0</v>
      </c>
      <c r="D12" s="114"/>
      <c r="E12" s="114"/>
      <c r="F12" s="29"/>
      <c r="G12" s="114"/>
      <c r="H12" s="114"/>
      <c r="I12" s="260"/>
      <c r="J12" s="840"/>
    </row>
    <row r="13" spans="1:10" ht="12.75" customHeight="1">
      <c r="A13" s="123" t="s">
        <v>13</v>
      </c>
      <c r="B13" s="29"/>
      <c r="C13" s="114"/>
      <c r="D13" s="114"/>
      <c r="E13" s="114"/>
      <c r="F13" s="29"/>
      <c r="G13" s="114"/>
      <c r="H13" s="114"/>
      <c r="I13" s="260"/>
      <c r="J13" s="840"/>
    </row>
    <row r="14" spans="1:10" ht="12.75" customHeight="1">
      <c r="A14" s="123" t="s">
        <v>14</v>
      </c>
      <c r="B14" s="188"/>
      <c r="C14" s="115"/>
      <c r="D14" s="115"/>
      <c r="E14" s="115"/>
      <c r="F14" s="29"/>
      <c r="G14" s="114"/>
      <c r="H14" s="114"/>
      <c r="I14" s="260"/>
      <c r="J14" s="840"/>
    </row>
    <row r="15" spans="1:10" ht="12.75" customHeight="1">
      <c r="A15" s="123" t="s">
        <v>15</v>
      </c>
      <c r="B15" s="29"/>
      <c r="C15" s="114"/>
      <c r="D15" s="114"/>
      <c r="E15" s="114"/>
      <c r="F15" s="29"/>
      <c r="G15" s="114"/>
      <c r="H15" s="114"/>
      <c r="I15" s="260"/>
      <c r="J15" s="840"/>
    </row>
    <row r="16" spans="1:10" ht="12.75" customHeight="1">
      <c r="A16" s="123" t="s">
        <v>16</v>
      </c>
      <c r="B16" s="29"/>
      <c r="C16" s="114"/>
      <c r="D16" s="114"/>
      <c r="E16" s="114"/>
      <c r="F16" s="29"/>
      <c r="G16" s="114"/>
      <c r="H16" s="114"/>
      <c r="I16" s="260"/>
      <c r="J16" s="840"/>
    </row>
    <row r="17" spans="1:10" ht="12.75" customHeight="1" thickBot="1">
      <c r="A17" s="123" t="s">
        <v>17</v>
      </c>
      <c r="B17" s="33"/>
      <c r="C17" s="116"/>
      <c r="D17" s="116"/>
      <c r="E17" s="116"/>
      <c r="F17" s="29"/>
      <c r="G17" s="116"/>
      <c r="H17" s="116"/>
      <c r="I17" s="261"/>
      <c r="J17" s="840"/>
    </row>
    <row r="18" spans="1:10" ht="21.75" thickBot="1">
      <c r="A18" s="126" t="s">
        <v>18</v>
      </c>
      <c r="B18" s="57" t="s">
        <v>385</v>
      </c>
      <c r="C18" s="117">
        <f>C6+C7+C9+C10+C11+C13+C14+C15+C16+C17</f>
        <v>221676588</v>
      </c>
      <c r="D18" s="117">
        <f>D6+D7+D9+D10+D11+D13+D14+D15+D16+D17</f>
        <v>246408930</v>
      </c>
      <c r="E18" s="117">
        <f>E6+E7+E9+E10+E11+E13+E14+E15+E16+E17</f>
        <v>255921041</v>
      </c>
      <c r="F18" s="57" t="s">
        <v>290</v>
      </c>
      <c r="G18" s="117">
        <f>SUM(G6:G17)</f>
        <v>349650046</v>
      </c>
      <c r="H18" s="117">
        <f>SUM(H6:H17)</f>
        <v>600062150</v>
      </c>
      <c r="I18" s="144">
        <f>SUM(I6:I17)</f>
        <v>249964721</v>
      </c>
      <c r="J18" s="840"/>
    </row>
    <row r="19" spans="1:10" ht="12.75" customHeight="1">
      <c r="A19" s="127" t="s">
        <v>19</v>
      </c>
      <c r="B19" s="128" t="s">
        <v>873</v>
      </c>
      <c r="C19" s="230">
        <f>+C20+C21+C22+C23</f>
        <v>134862858</v>
      </c>
      <c r="D19" s="230">
        <f>+D20+D21+D22+D23</f>
        <v>142014620</v>
      </c>
      <c r="E19" s="230">
        <f>+E20+E21+E22+E23</f>
        <v>142014620</v>
      </c>
      <c r="F19" s="129" t="s">
        <v>132</v>
      </c>
      <c r="G19" s="118"/>
      <c r="H19" s="118"/>
      <c r="I19" s="262"/>
      <c r="J19" s="840"/>
    </row>
    <row r="20" spans="1:10" ht="12.75" customHeight="1">
      <c r="A20" s="130" t="s">
        <v>20</v>
      </c>
      <c r="B20" s="129" t="s">
        <v>143</v>
      </c>
      <c r="C20" s="46">
        <v>134862858</v>
      </c>
      <c r="D20" s="46">
        <v>134862858</v>
      </c>
      <c r="E20" s="46">
        <v>134862858</v>
      </c>
      <c r="F20" s="129" t="s">
        <v>289</v>
      </c>
      <c r="G20" s="46"/>
      <c r="H20" s="46"/>
      <c r="I20" s="263"/>
      <c r="J20" s="840"/>
    </row>
    <row r="21" spans="1:10" ht="12.75" customHeight="1">
      <c r="A21" s="130" t="s">
        <v>21</v>
      </c>
      <c r="B21" s="129" t="s">
        <v>144</v>
      </c>
      <c r="C21" s="46"/>
      <c r="D21" s="46"/>
      <c r="E21" s="46"/>
      <c r="F21" s="129" t="s">
        <v>106</v>
      </c>
      <c r="G21" s="46"/>
      <c r="H21" s="46"/>
      <c r="I21" s="263"/>
      <c r="J21" s="840"/>
    </row>
    <row r="22" spans="1:10" ht="12.75" customHeight="1">
      <c r="A22" s="130" t="s">
        <v>22</v>
      </c>
      <c r="B22" s="129" t="s">
        <v>148</v>
      </c>
      <c r="C22" s="46"/>
      <c r="D22" s="46"/>
      <c r="E22" s="46"/>
      <c r="F22" s="129" t="s">
        <v>107</v>
      </c>
      <c r="G22" s="46"/>
      <c r="H22" s="46"/>
      <c r="I22" s="263"/>
      <c r="J22" s="840"/>
    </row>
    <row r="23" spans="1:10" ht="12.75" customHeight="1">
      <c r="A23" s="130" t="s">
        <v>23</v>
      </c>
      <c r="B23" s="129" t="s">
        <v>149</v>
      </c>
      <c r="C23" s="46"/>
      <c r="D23" s="46">
        <v>7151762</v>
      </c>
      <c r="E23" s="46">
        <v>7151762</v>
      </c>
      <c r="F23" s="128" t="s">
        <v>151</v>
      </c>
      <c r="G23" s="46"/>
      <c r="H23" s="46"/>
      <c r="I23" s="263"/>
      <c r="J23" s="840"/>
    </row>
    <row r="24" spans="1:10" ht="12.75" customHeight="1">
      <c r="A24" s="123" t="s">
        <v>24</v>
      </c>
      <c r="B24" s="129" t="s">
        <v>288</v>
      </c>
      <c r="C24" s="46"/>
      <c r="D24" s="46"/>
      <c r="E24" s="46"/>
      <c r="F24" s="129" t="s">
        <v>133</v>
      </c>
      <c r="G24" s="46"/>
      <c r="H24" s="46"/>
      <c r="I24" s="263"/>
      <c r="J24" s="840"/>
    </row>
    <row r="25" spans="1:10" ht="12.75" customHeight="1">
      <c r="A25" s="123" t="s">
        <v>25</v>
      </c>
      <c r="B25" s="129" t="s">
        <v>872</v>
      </c>
      <c r="C25" s="131">
        <f>C26+C27+C28</f>
        <v>0</v>
      </c>
      <c r="D25" s="131">
        <f>D26+D27+D28</f>
        <v>0</v>
      </c>
      <c r="E25" s="131">
        <f>E26+E27+E28</f>
        <v>0</v>
      </c>
      <c r="F25" s="122" t="s">
        <v>367</v>
      </c>
      <c r="G25" s="46"/>
      <c r="H25" s="46"/>
      <c r="I25" s="263"/>
      <c r="J25" s="840"/>
    </row>
    <row r="26" spans="1:10" ht="12.75" customHeight="1">
      <c r="A26" s="159" t="s">
        <v>26</v>
      </c>
      <c r="B26" s="128" t="s">
        <v>159</v>
      </c>
      <c r="C26" s="118"/>
      <c r="D26" s="118"/>
      <c r="E26" s="118"/>
      <c r="F26" s="124" t="s">
        <v>373</v>
      </c>
      <c r="G26" s="118"/>
      <c r="H26" s="118"/>
      <c r="I26" s="262"/>
      <c r="J26" s="840"/>
    </row>
    <row r="27" spans="1:10" ht="12.75" customHeight="1">
      <c r="A27" s="123" t="s">
        <v>27</v>
      </c>
      <c r="B27" s="129" t="s">
        <v>378</v>
      </c>
      <c r="C27" s="46"/>
      <c r="D27" s="46"/>
      <c r="E27" s="46"/>
      <c r="F27" s="124" t="s">
        <v>374</v>
      </c>
      <c r="G27" s="46"/>
      <c r="H27" s="46"/>
      <c r="I27" s="263"/>
      <c r="J27" s="840"/>
    </row>
    <row r="28" spans="1:10" ht="12.75" customHeight="1" thickBot="1">
      <c r="A28" s="159" t="s">
        <v>28</v>
      </c>
      <c r="B28" s="128" t="s">
        <v>246</v>
      </c>
      <c r="C28" s="118"/>
      <c r="D28" s="118"/>
      <c r="E28" s="118"/>
      <c r="F28" s="190" t="s">
        <v>884</v>
      </c>
      <c r="G28" s="118">
        <v>6289400</v>
      </c>
      <c r="H28" s="118">
        <v>6289400</v>
      </c>
      <c r="I28" s="262">
        <v>6289400</v>
      </c>
      <c r="J28" s="840"/>
    </row>
    <row r="29" spans="1:10" ht="24" customHeight="1" thickBot="1">
      <c r="A29" s="126" t="s">
        <v>29</v>
      </c>
      <c r="B29" s="57" t="s">
        <v>875</v>
      </c>
      <c r="C29" s="117">
        <f>+C19+C25</f>
        <v>134862858</v>
      </c>
      <c r="D29" s="117">
        <f>+D19+D25</f>
        <v>142014620</v>
      </c>
      <c r="E29" s="258">
        <f>+E19+E25</f>
        <v>142014620</v>
      </c>
      <c r="F29" s="57" t="s">
        <v>874</v>
      </c>
      <c r="G29" s="117">
        <f>SUM(G19:G28)</f>
        <v>6289400</v>
      </c>
      <c r="H29" s="117">
        <f>SUM(H19:H28)</f>
        <v>6289400</v>
      </c>
      <c r="I29" s="144">
        <f>SUM(I19:I28)</f>
        <v>6289400</v>
      </c>
      <c r="J29" s="840"/>
    </row>
    <row r="30" spans="1:10" ht="13.5" thickBot="1">
      <c r="A30" s="126" t="s">
        <v>30</v>
      </c>
      <c r="B30" s="132" t="s">
        <v>386</v>
      </c>
      <c r="C30" s="323">
        <f>+C18+C29</f>
        <v>356539446</v>
      </c>
      <c r="D30" s="323">
        <f>+D18+D29</f>
        <v>388423550</v>
      </c>
      <c r="E30" s="324">
        <f>+E18+E29</f>
        <v>397935661</v>
      </c>
      <c r="F30" s="132"/>
      <c r="G30" s="323">
        <f>+G18+G29</f>
        <v>355939446</v>
      </c>
      <c r="H30" s="323">
        <f>+H18+H29</f>
        <v>606351550</v>
      </c>
      <c r="I30" s="324">
        <f>+I18+I29</f>
        <v>256254121</v>
      </c>
      <c r="J30" s="840"/>
    </row>
    <row r="31" spans="1:10" ht="13.5" thickBot="1">
      <c r="A31" s="126" t="s">
        <v>31</v>
      </c>
      <c r="B31" s="132" t="s">
        <v>110</v>
      </c>
      <c r="C31" s="323">
        <f>C18-G18</f>
        <v>-127973458</v>
      </c>
      <c r="D31" s="323">
        <f>D18-H18</f>
        <v>-353653220</v>
      </c>
      <c r="E31" s="323"/>
      <c r="F31" s="132" t="s">
        <v>111</v>
      </c>
      <c r="G31" s="323" t="str">
        <f>IF(C18-G18&gt;0,C18-G18,"-")</f>
        <v>-</v>
      </c>
      <c r="H31" s="323" t="str">
        <f>IF(D18-H18&gt;0,D18-H18,"-")</f>
        <v>-</v>
      </c>
      <c r="I31" s="324">
        <f>IF(E18-I18&gt;0,E18-I18,"-")</f>
        <v>5956320</v>
      </c>
      <c r="J31" s="840"/>
    </row>
    <row r="32" spans="1:10" ht="13.5" thickBot="1">
      <c r="A32" s="126" t="s">
        <v>32</v>
      </c>
      <c r="B32" s="132" t="s">
        <v>493</v>
      </c>
      <c r="C32" s="323" t="str">
        <f>IF(C30-G30&lt;0,G30-C30,"-")</f>
        <v>-</v>
      </c>
      <c r="D32" s="323">
        <f>IF(D30-H30&lt;0,H30-D30,"-")</f>
        <v>217928000</v>
      </c>
      <c r="E32" s="323" t="str">
        <f>IF(E30-I30&lt;0,I30-E30,"-")</f>
        <v>-</v>
      </c>
      <c r="F32" s="132" t="s">
        <v>494</v>
      </c>
      <c r="G32" s="323">
        <f>IF(C30-G30&gt;0,C30-G30,"-")</f>
        <v>600000</v>
      </c>
      <c r="H32" s="323" t="str">
        <f>IF(D30-H30&gt;0,D30-H30,"-")</f>
        <v>-</v>
      </c>
      <c r="I32" s="323">
        <f>IF(E30-I30&gt;0,E30-I30,"-")</f>
        <v>141681540</v>
      </c>
      <c r="J32" s="840"/>
    </row>
    <row r="33" spans="2:10" ht="18.75">
      <c r="B33" s="839"/>
      <c r="C33" s="839"/>
      <c r="D33" s="839"/>
      <c r="E33" s="839"/>
      <c r="F33" s="839"/>
      <c r="J33" s="840"/>
    </row>
  </sheetData>
  <sheetProtection selectLockedCells="1" selectUnlockedCells="1"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C1">
      <selection activeCell="I9" sqref="I9"/>
    </sheetView>
  </sheetViews>
  <sheetFormatPr defaultColWidth="9.00390625" defaultRowHeight="12.75"/>
  <cols>
    <col min="1" max="1" width="6.875" style="32" customWidth="1"/>
    <col min="2" max="2" width="49.875" style="69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1:10" ht="31.5">
      <c r="A1" s="362"/>
      <c r="B1" s="368" t="s">
        <v>109</v>
      </c>
      <c r="C1" s="369"/>
      <c r="D1" s="369"/>
      <c r="E1" s="369"/>
      <c r="F1" s="369"/>
      <c r="G1" s="369"/>
      <c r="H1" s="369"/>
      <c r="I1" s="369"/>
      <c r="J1" s="840" t="str">
        <f>CONCATENATE("2.2. melléklet ",Z_ALAPADATOK!A7," ",Z_ALAPADATOK!B7," ",Z_ALAPADATOK!C7," ",Z_ALAPADATOK!D7," ",Z_ALAPADATOK!E7," ",Z_ALAPADATOK!F7," ",Z_ALAPADATOK!G7," ",Z_ALAPADATOK!H7)</f>
        <v>2.2. melléklet a 12 / 2020. ( VII.16. ) önkormányzati rendelethez</v>
      </c>
    </row>
    <row r="2" spans="1:10" ht="14.25" thickBot="1">
      <c r="A2" s="362"/>
      <c r="B2" s="361"/>
      <c r="C2" s="362"/>
      <c r="D2" s="362"/>
      <c r="E2" s="362"/>
      <c r="F2" s="362"/>
      <c r="G2" s="370"/>
      <c r="H2" s="370"/>
      <c r="I2" s="370" t="str">
        <f>'Z_2.1.sz.mell'!I2</f>
        <v>Forintban</v>
      </c>
      <c r="J2" s="840"/>
    </row>
    <row r="3" spans="1:10" ht="13.5" customHeight="1" thickBot="1">
      <c r="A3" s="837" t="s">
        <v>52</v>
      </c>
      <c r="B3" s="371" t="s">
        <v>40</v>
      </c>
      <c r="C3" s="372"/>
      <c r="D3" s="373"/>
      <c r="E3" s="373"/>
      <c r="F3" s="371" t="s">
        <v>41</v>
      </c>
      <c r="G3" s="374"/>
      <c r="H3" s="375"/>
      <c r="I3" s="376"/>
      <c r="J3" s="840"/>
    </row>
    <row r="4" spans="1:10" s="119" customFormat="1" ht="36.75" thickBot="1">
      <c r="A4" s="838"/>
      <c r="B4" s="364" t="s">
        <v>45</v>
      </c>
      <c r="C4" s="330" t="str">
        <f>+CONCATENATE('Z_1.1.sz.mell.'!C8," eredeti előirányzat")</f>
        <v>2019. évi eredeti előirányzat</v>
      </c>
      <c r="D4" s="328" t="str">
        <f>+CONCATENATE('Z_1.1.sz.mell.'!C8," módosított előirányzat")</f>
        <v>2019. évi módosított előirányzat</v>
      </c>
      <c r="E4" s="328" t="str">
        <f>CONCATENATE('Z_2.1.sz.mell'!E4)</f>
        <v>58986000</v>
      </c>
      <c r="F4" s="364" t="s">
        <v>45</v>
      </c>
      <c r="G4" s="330" t="str">
        <f>+C4</f>
        <v>2019. évi eredeti előirányzat</v>
      </c>
      <c r="H4" s="330" t="str">
        <f>+D4</f>
        <v>2019. évi módosított előirányzat</v>
      </c>
      <c r="I4" s="329" t="str">
        <f>+E4</f>
        <v>58986000</v>
      </c>
      <c r="J4" s="840"/>
    </row>
    <row r="5" spans="1:10" s="119" customFormat="1" ht="13.5" thickBot="1">
      <c r="A5" s="377" t="s">
        <v>387</v>
      </c>
      <c r="B5" s="378" t="s">
        <v>388</v>
      </c>
      <c r="C5" s="379" t="s">
        <v>389</v>
      </c>
      <c r="D5" s="379" t="s">
        <v>391</v>
      </c>
      <c r="E5" s="379" t="s">
        <v>390</v>
      </c>
      <c r="F5" s="378" t="s">
        <v>392</v>
      </c>
      <c r="G5" s="379" t="s">
        <v>393</v>
      </c>
      <c r="H5" s="380" t="s">
        <v>394</v>
      </c>
      <c r="I5" s="381" t="s">
        <v>421</v>
      </c>
      <c r="J5" s="840"/>
    </row>
    <row r="6" spans="1:10" ht="12.75" customHeight="1">
      <c r="A6" s="121" t="s">
        <v>6</v>
      </c>
      <c r="B6" s="122" t="s">
        <v>291</v>
      </c>
      <c r="C6" s="113"/>
      <c r="D6" s="113"/>
      <c r="E6" s="113"/>
      <c r="F6" s="122" t="s">
        <v>145</v>
      </c>
      <c r="G6" s="113">
        <v>219541000</v>
      </c>
      <c r="H6" s="268">
        <v>1613000</v>
      </c>
      <c r="I6" s="142">
        <v>1403476</v>
      </c>
      <c r="J6" s="840"/>
    </row>
    <row r="7" spans="1:10" ht="12.75">
      <c r="A7" s="123" t="s">
        <v>7</v>
      </c>
      <c r="B7" s="124" t="s">
        <v>292</v>
      </c>
      <c r="C7" s="114"/>
      <c r="D7" s="114"/>
      <c r="E7" s="114"/>
      <c r="F7" s="124" t="s">
        <v>297</v>
      </c>
      <c r="G7" s="114">
        <v>200000000</v>
      </c>
      <c r="H7" s="114"/>
      <c r="I7" s="260"/>
      <c r="J7" s="840"/>
    </row>
    <row r="8" spans="1:10" ht="12.75" customHeight="1">
      <c r="A8" s="123" t="s">
        <v>8</v>
      </c>
      <c r="B8" s="124" t="s">
        <v>1</v>
      </c>
      <c r="C8" s="114"/>
      <c r="D8" s="114"/>
      <c r="E8" s="114">
        <v>236472</v>
      </c>
      <c r="F8" s="124" t="s">
        <v>128</v>
      </c>
      <c r="G8" s="114">
        <v>6350000</v>
      </c>
      <c r="H8" s="114">
        <v>5750000</v>
      </c>
      <c r="I8" s="260">
        <v>5638043</v>
      </c>
      <c r="J8" s="840"/>
    </row>
    <row r="9" spans="1:10" ht="12.75" customHeight="1">
      <c r="A9" s="123" t="s">
        <v>9</v>
      </c>
      <c r="B9" s="124" t="s">
        <v>293</v>
      </c>
      <c r="C9" s="114"/>
      <c r="D9" s="114"/>
      <c r="E9" s="114"/>
      <c r="F9" s="124" t="s">
        <v>298</v>
      </c>
      <c r="G9" s="114"/>
      <c r="H9" s="114"/>
      <c r="I9" s="260"/>
      <c r="J9" s="840"/>
    </row>
    <row r="10" spans="1:10" ht="12.75" customHeight="1">
      <c r="A10" s="123" t="s">
        <v>10</v>
      </c>
      <c r="B10" s="124" t="s">
        <v>294</v>
      </c>
      <c r="C10" s="114"/>
      <c r="D10" s="114"/>
      <c r="E10" s="114"/>
      <c r="F10" s="124" t="s">
        <v>147</v>
      </c>
      <c r="G10" s="114">
        <v>600000</v>
      </c>
      <c r="H10" s="114">
        <v>600000</v>
      </c>
      <c r="I10" s="260">
        <v>300000</v>
      </c>
      <c r="J10" s="840"/>
    </row>
    <row r="11" spans="1:10" ht="12.75" customHeight="1">
      <c r="A11" s="123" t="s">
        <v>11</v>
      </c>
      <c r="B11" s="124" t="s">
        <v>295</v>
      </c>
      <c r="C11" s="115"/>
      <c r="D11" s="115"/>
      <c r="E11" s="115"/>
      <c r="F11" s="191"/>
      <c r="G11" s="114"/>
      <c r="H11" s="114"/>
      <c r="I11" s="260"/>
      <c r="J11" s="840"/>
    </row>
    <row r="12" spans="1:10" ht="12.75" customHeight="1">
      <c r="A12" s="123" t="s">
        <v>12</v>
      </c>
      <c r="B12" s="29"/>
      <c r="C12" s="114"/>
      <c r="D12" s="114"/>
      <c r="E12" s="114"/>
      <c r="F12" s="191"/>
      <c r="G12" s="114"/>
      <c r="H12" s="114"/>
      <c r="I12" s="260"/>
      <c r="J12" s="840"/>
    </row>
    <row r="13" spans="1:10" ht="12.75" customHeight="1">
      <c r="A13" s="123" t="s">
        <v>13</v>
      </c>
      <c r="B13" s="29"/>
      <c r="C13" s="114"/>
      <c r="D13" s="114"/>
      <c r="E13" s="114"/>
      <c r="F13" s="192"/>
      <c r="G13" s="114"/>
      <c r="H13" s="114"/>
      <c r="I13" s="260"/>
      <c r="J13" s="840"/>
    </row>
    <row r="14" spans="1:10" ht="12.75" customHeight="1">
      <c r="A14" s="123" t="s">
        <v>14</v>
      </c>
      <c r="B14" s="189"/>
      <c r="C14" s="115"/>
      <c r="D14" s="115"/>
      <c r="E14" s="115"/>
      <c r="F14" s="191"/>
      <c r="G14" s="114"/>
      <c r="H14" s="114"/>
      <c r="I14" s="260"/>
      <c r="J14" s="840"/>
    </row>
    <row r="15" spans="1:10" ht="12.75">
      <c r="A15" s="123" t="s">
        <v>15</v>
      </c>
      <c r="B15" s="29"/>
      <c r="C15" s="115"/>
      <c r="D15" s="115"/>
      <c r="E15" s="115"/>
      <c r="F15" s="191"/>
      <c r="G15" s="114"/>
      <c r="H15" s="114"/>
      <c r="I15" s="260"/>
      <c r="J15" s="840"/>
    </row>
    <row r="16" spans="1:10" ht="12.75" customHeight="1" thickBot="1">
      <c r="A16" s="159" t="s">
        <v>16</v>
      </c>
      <c r="B16" s="190"/>
      <c r="C16" s="161"/>
      <c r="D16" s="161"/>
      <c r="E16" s="161"/>
      <c r="F16" s="160" t="s">
        <v>36</v>
      </c>
      <c r="G16" s="266"/>
      <c r="H16" s="266"/>
      <c r="I16" s="264"/>
      <c r="J16" s="840"/>
    </row>
    <row r="17" spans="1:10" ht="15.75" customHeight="1" thickBot="1">
      <c r="A17" s="126" t="s">
        <v>17</v>
      </c>
      <c r="B17" s="57" t="s">
        <v>305</v>
      </c>
      <c r="C17" s="117">
        <f>+C6+C8+C9+C11+C12+C13+C14+C15+C16</f>
        <v>0</v>
      </c>
      <c r="D17" s="117">
        <f>+D6+D8+D9+D11+D12+D13+D14+D15+D16</f>
        <v>0</v>
      </c>
      <c r="E17" s="117">
        <f>+E6+E8+E9+E11+E12+E13+E14+E15+E16</f>
        <v>236472</v>
      </c>
      <c r="F17" s="57" t="s">
        <v>306</v>
      </c>
      <c r="G17" s="117">
        <f>+G6+G8+G10+G11+G12+G13+G14+G15+G16</f>
        <v>226491000</v>
      </c>
      <c r="H17" s="117">
        <f>+H6+H8+H10+H11+H12+H13+H14+H15+H16</f>
        <v>7963000</v>
      </c>
      <c r="I17" s="144">
        <f>+I6+I8+I10+I11+I12+I13+I14+I15+I16</f>
        <v>7341519</v>
      </c>
      <c r="J17" s="840"/>
    </row>
    <row r="18" spans="1:10" ht="12.75" customHeight="1">
      <c r="A18" s="121" t="s">
        <v>18</v>
      </c>
      <c r="B18" s="134" t="s">
        <v>163</v>
      </c>
      <c r="C18" s="141">
        <f>+C19+C20+C21+C22+C23</f>
        <v>225891000</v>
      </c>
      <c r="D18" s="141">
        <f>+D19+D20+D21+D22+D23</f>
        <v>225891000</v>
      </c>
      <c r="E18" s="141">
        <f>+E19+E20+E21+E22+E23</f>
        <v>225891000</v>
      </c>
      <c r="F18" s="129" t="s">
        <v>132</v>
      </c>
      <c r="G18" s="267"/>
      <c r="H18" s="267"/>
      <c r="I18" s="265"/>
      <c r="J18" s="840"/>
    </row>
    <row r="19" spans="1:10" ht="12.75" customHeight="1">
      <c r="A19" s="123" t="s">
        <v>19</v>
      </c>
      <c r="B19" s="135" t="s">
        <v>152</v>
      </c>
      <c r="C19" s="46">
        <v>225891000</v>
      </c>
      <c r="D19" s="46">
        <v>225891000</v>
      </c>
      <c r="E19" s="46">
        <v>225891000</v>
      </c>
      <c r="F19" s="129" t="s">
        <v>135</v>
      </c>
      <c r="G19" s="46"/>
      <c r="H19" s="46"/>
      <c r="I19" s="263"/>
      <c r="J19" s="840"/>
    </row>
    <row r="20" spans="1:10" ht="12.75" customHeight="1">
      <c r="A20" s="121" t="s">
        <v>20</v>
      </c>
      <c r="B20" s="135" t="s">
        <v>153</v>
      </c>
      <c r="C20" s="46"/>
      <c r="D20" s="46"/>
      <c r="E20" s="46"/>
      <c r="F20" s="129" t="s">
        <v>106</v>
      </c>
      <c r="G20" s="46"/>
      <c r="H20" s="46"/>
      <c r="I20" s="263"/>
      <c r="J20" s="840"/>
    </row>
    <row r="21" spans="1:10" ht="12.75" customHeight="1">
      <c r="A21" s="123" t="s">
        <v>21</v>
      </c>
      <c r="B21" s="135" t="s">
        <v>154</v>
      </c>
      <c r="C21" s="46"/>
      <c r="D21" s="46"/>
      <c r="E21" s="46"/>
      <c r="F21" s="129" t="s">
        <v>107</v>
      </c>
      <c r="G21" s="46"/>
      <c r="H21" s="46"/>
      <c r="I21" s="263"/>
      <c r="J21" s="840"/>
    </row>
    <row r="22" spans="1:10" ht="12.75" customHeight="1">
      <c r="A22" s="121" t="s">
        <v>22</v>
      </c>
      <c r="B22" s="135" t="s">
        <v>155</v>
      </c>
      <c r="C22" s="46"/>
      <c r="D22" s="46"/>
      <c r="E22" s="46"/>
      <c r="F22" s="128" t="s">
        <v>151</v>
      </c>
      <c r="G22" s="46"/>
      <c r="H22" s="46"/>
      <c r="I22" s="263"/>
      <c r="J22" s="840"/>
    </row>
    <row r="23" spans="1:10" ht="12.75" customHeight="1">
      <c r="A23" s="123" t="s">
        <v>23</v>
      </c>
      <c r="B23" s="136" t="s">
        <v>156</v>
      </c>
      <c r="C23" s="46"/>
      <c r="D23" s="46"/>
      <c r="E23" s="46"/>
      <c r="F23" s="129" t="s">
        <v>136</v>
      </c>
      <c r="G23" s="46"/>
      <c r="H23" s="46"/>
      <c r="I23" s="263"/>
      <c r="J23" s="840"/>
    </row>
    <row r="24" spans="1:10" ht="12.75" customHeight="1">
      <c r="A24" s="121" t="s">
        <v>24</v>
      </c>
      <c r="B24" s="137" t="s">
        <v>157</v>
      </c>
      <c r="C24" s="131">
        <f>+C25+C26+C27+C28+C29</f>
        <v>0</v>
      </c>
      <c r="D24" s="131">
        <f>+D25+D26+D27+D28+D29</f>
        <v>0</v>
      </c>
      <c r="E24" s="131">
        <f>+E25+E26+E27+E28+E29</f>
        <v>0</v>
      </c>
      <c r="F24" s="138" t="s">
        <v>134</v>
      </c>
      <c r="G24" s="46"/>
      <c r="H24" s="46"/>
      <c r="I24" s="263"/>
      <c r="J24" s="840"/>
    </row>
    <row r="25" spans="1:10" ht="12.75" customHeight="1">
      <c r="A25" s="123" t="s">
        <v>25</v>
      </c>
      <c r="B25" s="136" t="s">
        <v>158</v>
      </c>
      <c r="C25" s="46"/>
      <c r="D25" s="46"/>
      <c r="E25" s="46"/>
      <c r="F25" s="138" t="s">
        <v>299</v>
      </c>
      <c r="G25" s="46"/>
      <c r="H25" s="46"/>
      <c r="I25" s="263"/>
      <c r="J25" s="840"/>
    </row>
    <row r="26" spans="1:10" ht="12.75" customHeight="1">
      <c r="A26" s="121" t="s">
        <v>26</v>
      </c>
      <c r="B26" s="136" t="s">
        <v>159</v>
      </c>
      <c r="C26" s="46"/>
      <c r="D26" s="46"/>
      <c r="E26" s="46"/>
      <c r="F26" s="133"/>
      <c r="G26" s="46"/>
      <c r="H26" s="46"/>
      <c r="I26" s="263"/>
      <c r="J26" s="840"/>
    </row>
    <row r="27" spans="1:10" ht="12.75" customHeight="1">
      <c r="A27" s="123" t="s">
        <v>27</v>
      </c>
      <c r="B27" s="135" t="s">
        <v>160</v>
      </c>
      <c r="C27" s="46"/>
      <c r="D27" s="46"/>
      <c r="E27" s="46"/>
      <c r="F27" s="55"/>
      <c r="G27" s="46"/>
      <c r="H27" s="46"/>
      <c r="I27" s="263"/>
      <c r="J27" s="840"/>
    </row>
    <row r="28" spans="1:10" ht="12.75" customHeight="1">
      <c r="A28" s="121" t="s">
        <v>28</v>
      </c>
      <c r="B28" s="139" t="s">
        <v>161</v>
      </c>
      <c r="C28" s="46"/>
      <c r="D28" s="46"/>
      <c r="E28" s="46"/>
      <c r="F28" s="29"/>
      <c r="G28" s="46"/>
      <c r="H28" s="46"/>
      <c r="I28" s="263"/>
      <c r="J28" s="840"/>
    </row>
    <row r="29" spans="1:10" ht="12.75" customHeight="1" thickBot="1">
      <c r="A29" s="123" t="s">
        <v>29</v>
      </c>
      <c r="B29" s="140" t="s">
        <v>162</v>
      </c>
      <c r="C29" s="46"/>
      <c r="D29" s="46"/>
      <c r="E29" s="46"/>
      <c r="F29" s="55"/>
      <c r="G29" s="46"/>
      <c r="H29" s="46"/>
      <c r="I29" s="263"/>
      <c r="J29" s="840"/>
    </row>
    <row r="30" spans="1:10" ht="21.75" customHeight="1" thickBot="1">
      <c r="A30" s="126" t="s">
        <v>30</v>
      </c>
      <c r="B30" s="57" t="s">
        <v>296</v>
      </c>
      <c r="C30" s="117">
        <f>+C18+C24</f>
        <v>225891000</v>
      </c>
      <c r="D30" s="117">
        <f>+D18+D24</f>
        <v>225891000</v>
      </c>
      <c r="E30" s="117">
        <f>+E18+E24</f>
        <v>225891000</v>
      </c>
      <c r="F30" s="57" t="s">
        <v>300</v>
      </c>
      <c r="G30" s="117">
        <f>SUM(G18:G29)</f>
        <v>0</v>
      </c>
      <c r="H30" s="117">
        <f>SUM(H18:H29)</f>
        <v>0</v>
      </c>
      <c r="I30" s="144">
        <f>SUM(I18:I29)</f>
        <v>0</v>
      </c>
      <c r="J30" s="840"/>
    </row>
    <row r="31" spans="1:10" ht="13.5" thickBot="1">
      <c r="A31" s="126" t="s">
        <v>31</v>
      </c>
      <c r="B31" s="132" t="s">
        <v>301</v>
      </c>
      <c r="C31" s="323">
        <f>+C17+C30</f>
        <v>225891000</v>
      </c>
      <c r="D31" s="323">
        <f>+D17+D30</f>
        <v>225891000</v>
      </c>
      <c r="E31" s="324">
        <f>+E17+E30</f>
        <v>226127472</v>
      </c>
      <c r="F31" s="132" t="s">
        <v>302</v>
      </c>
      <c r="G31" s="323">
        <f>+G17+G30</f>
        <v>226491000</v>
      </c>
      <c r="H31" s="323">
        <f>+H17+H30</f>
        <v>7963000</v>
      </c>
      <c r="I31" s="324">
        <f>+I17+I30</f>
        <v>7341519</v>
      </c>
      <c r="J31" s="840"/>
    </row>
    <row r="32" spans="1:10" ht="13.5" thickBot="1">
      <c r="A32" s="126" t="s">
        <v>32</v>
      </c>
      <c r="B32" s="132" t="s">
        <v>110</v>
      </c>
      <c r="C32" s="323">
        <f>IF(C17-G17&lt;0,G17-C17,"-")</f>
        <v>226491000</v>
      </c>
      <c r="D32" s="323">
        <f>IF(D17-H17&lt;0,H17-D17,"-")</f>
        <v>7963000</v>
      </c>
      <c r="E32" s="324">
        <f>IF(E17-I17&lt;0,I17-E17,"-")</f>
        <v>7105047</v>
      </c>
      <c r="F32" s="132" t="s">
        <v>111</v>
      </c>
      <c r="G32" s="323" t="str">
        <f>IF(C17-G17&gt;0,C17-G17,"-")</f>
        <v>-</v>
      </c>
      <c r="H32" s="323" t="str">
        <f>IF(D17-H17&gt;0,D17-H17,"-")</f>
        <v>-</v>
      </c>
      <c r="I32" s="324" t="str">
        <f>IF(E17-I17&gt;0,E17-I17,"-")</f>
        <v>-</v>
      </c>
      <c r="J32" s="840"/>
    </row>
    <row r="33" spans="1:10" ht="13.5" thickBot="1">
      <c r="A33" s="126" t="s">
        <v>33</v>
      </c>
      <c r="B33" s="132" t="s">
        <v>493</v>
      </c>
      <c r="C33" s="323">
        <f>IF(C31-G31&lt;0,G31-C31,"-")</f>
        <v>600000</v>
      </c>
      <c r="D33" s="323" t="str">
        <f>IF(D31-H31&lt;0,H31-D31,"-")</f>
        <v>-</v>
      </c>
      <c r="E33" s="323" t="str">
        <f>IF(E31-I31&lt;0,I31-E31,"-")</f>
        <v>-</v>
      </c>
      <c r="F33" s="132" t="s">
        <v>494</v>
      </c>
      <c r="G33" s="323" t="str">
        <f>IF(C31-G31&gt;0,C31-G31,"-")</f>
        <v>-</v>
      </c>
      <c r="H33" s="323">
        <f>IF(D31-H31&gt;0,D31-H31,"-")</f>
        <v>217928000</v>
      </c>
      <c r="I33" s="323">
        <f>IF(E31-I31&gt;0,E31-I31,"-")</f>
        <v>218785953</v>
      </c>
      <c r="J33" s="840"/>
    </row>
  </sheetData>
  <sheetProtection sheet="1"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J25" sqref="J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69" t="s">
        <v>521</v>
      </c>
      <c r="B1" s="77"/>
      <c r="C1" s="77"/>
      <c r="D1" s="77"/>
      <c r="E1" s="270" t="s">
        <v>105</v>
      </c>
    </row>
    <row r="2" spans="1:5" ht="12.75">
      <c r="A2" s="77"/>
      <c r="B2" s="77"/>
      <c r="C2" s="77"/>
      <c r="D2" s="77"/>
      <c r="E2" s="77"/>
    </row>
    <row r="3" spans="1:5" ht="12.75">
      <c r="A3" s="271"/>
      <c r="B3" s="272"/>
      <c r="C3" s="271"/>
      <c r="D3" s="273"/>
      <c r="E3" s="272"/>
    </row>
    <row r="4" spans="1:5" ht="15.75">
      <c r="A4" s="79" t="str">
        <f>+Z_ÖSSZEFÜGGÉSEK!A6</f>
        <v>2019. évi eredeti előirányzat BEVÉTELEK</v>
      </c>
      <c r="B4" s="274"/>
      <c r="C4" s="275"/>
      <c r="D4" s="273"/>
      <c r="E4" s="272"/>
    </row>
    <row r="5" spans="1:5" ht="12.75">
      <c r="A5" s="271"/>
      <c r="B5" s="272"/>
      <c r="C5" s="271"/>
      <c r="D5" s="273"/>
      <c r="E5" s="272"/>
    </row>
    <row r="6" spans="1:5" ht="12.75">
      <c r="A6" s="271" t="s">
        <v>461</v>
      </c>
      <c r="B6" s="272">
        <f>+'Z_1.1.sz.mell.'!C69</f>
        <v>221676588</v>
      </c>
      <c r="C6" s="271" t="s">
        <v>423</v>
      </c>
      <c r="D6" s="273">
        <f>+'Z_2.1.sz.mell'!C18+'Z_2.2.sz.mell'!C17</f>
        <v>221676588</v>
      </c>
      <c r="E6" s="272">
        <f>+B6-D6</f>
        <v>0</v>
      </c>
    </row>
    <row r="7" spans="1:5" ht="12.75">
      <c r="A7" s="271" t="s">
        <v>477</v>
      </c>
      <c r="B7" s="272">
        <f>+'Z_1.1.sz.mell.'!C93</f>
        <v>360753858</v>
      </c>
      <c r="C7" s="271" t="s">
        <v>429</v>
      </c>
      <c r="D7" s="273">
        <f>+'Z_2.1.sz.mell'!C29+'Z_2.2.sz.mell'!C30</f>
        <v>360753858</v>
      </c>
      <c r="E7" s="272">
        <f>+B7-D7</f>
        <v>0</v>
      </c>
    </row>
    <row r="8" spans="1:5" ht="12.75">
      <c r="A8" s="271" t="s">
        <v>478</v>
      </c>
      <c r="B8" s="272">
        <f>+'Z_1.1.sz.mell.'!C94</f>
        <v>582430446</v>
      </c>
      <c r="C8" s="271" t="s">
        <v>430</v>
      </c>
      <c r="D8" s="273">
        <f>+'Z_2.1.sz.mell'!C30+'Z_2.2.sz.mell'!C31</f>
        <v>582430446</v>
      </c>
      <c r="E8" s="272">
        <f>+B8-D8</f>
        <v>0</v>
      </c>
    </row>
    <row r="9" spans="1:5" ht="12.75">
      <c r="A9" s="271"/>
      <c r="B9" s="272"/>
      <c r="C9" s="271"/>
      <c r="D9" s="273"/>
      <c r="E9" s="272"/>
    </row>
    <row r="10" spans="1:5" ht="15.75">
      <c r="A10" s="79" t="str">
        <f>+Z_ÖSSZEFÜGGÉSEK!A13</f>
        <v>2019. évi módosított előirányzat BEVÉTELEK</v>
      </c>
      <c r="B10" s="274"/>
      <c r="C10" s="275"/>
      <c r="D10" s="273"/>
      <c r="E10" s="272"/>
    </row>
    <row r="11" spans="1:5" ht="12.75">
      <c r="A11" s="271"/>
      <c r="B11" s="272"/>
      <c r="C11" s="271"/>
      <c r="D11" s="273"/>
      <c r="E11" s="272"/>
    </row>
    <row r="12" spans="1:5" ht="12.75">
      <c r="A12" s="271" t="s">
        <v>462</v>
      </c>
      <c r="B12" s="272">
        <f>+'Z_1.1.sz.mell.'!D69</f>
        <v>246408930</v>
      </c>
      <c r="C12" s="271" t="s">
        <v>424</v>
      </c>
      <c r="D12" s="273">
        <f>+'Z_2.1.sz.mell'!D18+'Z_2.2.sz.mell'!D17</f>
        <v>246408930</v>
      </c>
      <c r="E12" s="272">
        <f>+B12-D12</f>
        <v>0</v>
      </c>
    </row>
    <row r="13" spans="1:5" ht="12.75">
      <c r="A13" s="271" t="s">
        <v>463</v>
      </c>
      <c r="B13" s="272">
        <f>+'Z_1.1.sz.mell.'!D93</f>
        <v>367905620</v>
      </c>
      <c r="C13" s="271" t="s">
        <v>431</v>
      </c>
      <c r="D13" s="273">
        <f>+'Z_2.1.sz.mell'!D29+'Z_2.2.sz.mell'!D30</f>
        <v>367905620</v>
      </c>
      <c r="E13" s="272">
        <f>+B13-D13</f>
        <v>0</v>
      </c>
    </row>
    <row r="14" spans="1:5" ht="12.75">
      <c r="A14" s="271" t="s">
        <v>464</v>
      </c>
      <c r="B14" s="272">
        <f>+'Z_1.1.sz.mell.'!D94</f>
        <v>614314550</v>
      </c>
      <c r="C14" s="271" t="s">
        <v>432</v>
      </c>
      <c r="D14" s="273">
        <f>+'Z_2.1.sz.mell'!D30+'Z_2.2.sz.mell'!D31</f>
        <v>614314550</v>
      </c>
      <c r="E14" s="272">
        <f>+B14-D14</f>
        <v>0</v>
      </c>
    </row>
    <row r="15" spans="1:5" ht="12.75">
      <c r="A15" s="271"/>
      <c r="B15" s="272"/>
      <c r="C15" s="271"/>
      <c r="D15" s="273"/>
      <c r="E15" s="272"/>
    </row>
    <row r="16" spans="1:5" ht="14.25">
      <c r="A16" s="276" t="str">
        <f>+Z_ÖSSZEFÜGGÉSEK!A19</f>
        <v>2019.évi teljesített BEVÉTELEK</v>
      </c>
      <c r="B16" s="78"/>
      <c r="C16" s="275"/>
      <c r="D16" s="273"/>
      <c r="E16" s="272"/>
    </row>
    <row r="17" spans="1:5" ht="12.75">
      <c r="A17" s="271"/>
      <c r="B17" s="272"/>
      <c r="C17" s="271"/>
      <c r="D17" s="273"/>
      <c r="E17" s="272"/>
    </row>
    <row r="18" spans="1:5" ht="12.75">
      <c r="A18" s="271" t="s">
        <v>465</v>
      </c>
      <c r="B18" s="272">
        <f>+'Z_1.1.sz.mell.'!E69</f>
        <v>256157513</v>
      </c>
      <c r="C18" s="271" t="s">
        <v>425</v>
      </c>
      <c r="D18" s="273">
        <f>+'Z_2.1.sz.mell'!E18+'Z_2.2.sz.mell'!E17</f>
        <v>256157513</v>
      </c>
      <c r="E18" s="272">
        <f>+B18-D18</f>
        <v>0</v>
      </c>
    </row>
    <row r="19" spans="1:5" ht="12.75">
      <c r="A19" s="271" t="s">
        <v>466</v>
      </c>
      <c r="B19" s="272">
        <f>+'Z_1.1.sz.mell.'!E93</f>
        <v>367905620</v>
      </c>
      <c r="C19" s="271" t="s">
        <v>433</v>
      </c>
      <c r="D19" s="273">
        <f>+'Z_2.1.sz.mell'!E29+'Z_2.2.sz.mell'!E30</f>
        <v>367905620</v>
      </c>
      <c r="E19" s="272">
        <f>+B19-D19</f>
        <v>0</v>
      </c>
    </row>
    <row r="20" spans="1:5" ht="12.75">
      <c r="A20" s="271" t="s">
        <v>467</v>
      </c>
      <c r="B20" s="272">
        <f>+'Z_1.1.sz.mell.'!E94</f>
        <v>624063133</v>
      </c>
      <c r="C20" s="271" t="s">
        <v>434</v>
      </c>
      <c r="D20" s="273">
        <f>+'Z_2.1.sz.mell'!E30+'Z_2.2.sz.mell'!E31</f>
        <v>624063133</v>
      </c>
      <c r="E20" s="272">
        <f>+B20-D20</f>
        <v>0</v>
      </c>
    </row>
    <row r="21" spans="1:5" ht="12.75">
      <c r="A21" s="271"/>
      <c r="B21" s="272"/>
      <c r="C21" s="271"/>
      <c r="D21" s="273"/>
      <c r="E21" s="272"/>
    </row>
    <row r="22" spans="1:5" ht="15.75">
      <c r="A22" s="79" t="str">
        <f>+Z_ÖSSZEFÜGGÉSEK!A25</f>
        <v>2019. évi eredeti előirányzat KIADÁSOK</v>
      </c>
      <c r="B22" s="274"/>
      <c r="C22" s="275"/>
      <c r="D22" s="273"/>
      <c r="E22" s="272"/>
    </row>
    <row r="23" spans="1:5" ht="12.75">
      <c r="A23" s="271"/>
      <c r="B23" s="272"/>
      <c r="C23" s="271"/>
      <c r="D23" s="273"/>
      <c r="E23" s="272"/>
    </row>
    <row r="24" spans="1:5" ht="12.75">
      <c r="A24" s="271" t="s">
        <v>479</v>
      </c>
      <c r="B24" s="272">
        <f>+'Z_1.1.sz.mell.'!C136</f>
        <v>576141046</v>
      </c>
      <c r="C24" s="271" t="s">
        <v>426</v>
      </c>
      <c r="D24" s="273">
        <f>+'Z_2.1.sz.mell'!G18+'Z_2.2.sz.mell'!G17</f>
        <v>576141046</v>
      </c>
      <c r="E24" s="272">
        <f>+B24-D24</f>
        <v>0</v>
      </c>
    </row>
    <row r="25" spans="1:5" ht="12.75">
      <c r="A25" s="271" t="s">
        <v>469</v>
      </c>
      <c r="B25" s="272">
        <f>+'Z_1.1.sz.mell.'!C161</f>
        <v>6289400</v>
      </c>
      <c r="C25" s="271" t="s">
        <v>435</v>
      </c>
      <c r="D25" s="273">
        <f>+'Z_2.1.sz.mell'!G29+'Z_2.2.sz.mell'!G30</f>
        <v>6289400</v>
      </c>
      <c r="E25" s="272">
        <f>+B25-D25</f>
        <v>0</v>
      </c>
    </row>
    <row r="26" spans="1:5" ht="12.75">
      <c r="A26" s="271" t="s">
        <v>470</v>
      </c>
      <c r="B26" s="272">
        <f>+'Z_1.1.sz.mell.'!C162</f>
        <v>582430446</v>
      </c>
      <c r="C26" s="271" t="s">
        <v>436</v>
      </c>
      <c r="D26" s="273">
        <f>+'Z_2.1.sz.mell'!G30+'Z_2.2.sz.mell'!G31</f>
        <v>582430446</v>
      </c>
      <c r="E26" s="272">
        <f>+B26-D26</f>
        <v>0</v>
      </c>
    </row>
    <row r="27" spans="1:5" ht="12.75">
      <c r="A27" s="271"/>
      <c r="B27" s="272"/>
      <c r="C27" s="271"/>
      <c r="D27" s="273"/>
      <c r="E27" s="272"/>
    </row>
    <row r="28" spans="1:5" ht="15.75">
      <c r="A28" s="79" t="str">
        <f>+Z_ÖSSZEFÜGGÉSEK!A31</f>
        <v>2019. évi módosított előirányzat KIADÁSOK</v>
      </c>
      <c r="B28" s="274"/>
      <c r="C28" s="275"/>
      <c r="D28" s="273"/>
      <c r="E28" s="272"/>
    </row>
    <row r="29" spans="1:5" ht="12.75">
      <c r="A29" s="271"/>
      <c r="B29" s="272"/>
      <c r="C29" s="271"/>
      <c r="D29" s="273"/>
      <c r="E29" s="272"/>
    </row>
    <row r="30" spans="1:5" ht="12.75">
      <c r="A30" s="271" t="s">
        <v>471</v>
      </c>
      <c r="B30" s="272">
        <f>+'Z_1.1.sz.mell.'!D136</f>
        <v>608025150</v>
      </c>
      <c r="C30" s="271" t="s">
        <v>427</v>
      </c>
      <c r="D30" s="273">
        <f>+'Z_2.1.sz.mell'!H18+'Z_2.2.sz.mell'!H17</f>
        <v>608025150</v>
      </c>
      <c r="E30" s="272">
        <f>+B30-D30</f>
        <v>0</v>
      </c>
    </row>
    <row r="31" spans="1:5" ht="12.75">
      <c r="A31" s="271" t="s">
        <v>472</v>
      </c>
      <c r="B31" s="272">
        <f>+'Z_1.1.sz.mell.'!D161</f>
        <v>6289400</v>
      </c>
      <c r="C31" s="271" t="s">
        <v>437</v>
      </c>
      <c r="D31" s="273">
        <f>+'Z_2.1.sz.mell'!H29+'Z_2.2.sz.mell'!H30</f>
        <v>6289400</v>
      </c>
      <c r="E31" s="272">
        <f>+B31-D31</f>
        <v>0</v>
      </c>
    </row>
    <row r="32" spans="1:5" ht="12.75">
      <c r="A32" s="271" t="s">
        <v>473</v>
      </c>
      <c r="B32" s="272">
        <f>+'Z_1.1.sz.mell.'!D162</f>
        <v>614314550</v>
      </c>
      <c r="C32" s="271" t="s">
        <v>438</v>
      </c>
      <c r="D32" s="273">
        <f>+'Z_2.1.sz.mell'!H30+'Z_2.2.sz.mell'!H31</f>
        <v>614314550</v>
      </c>
      <c r="E32" s="272">
        <f>+B32-D32</f>
        <v>0</v>
      </c>
    </row>
    <row r="33" spans="1:5" ht="12.75">
      <c r="A33" s="271"/>
      <c r="B33" s="272"/>
      <c r="C33" s="271"/>
      <c r="D33" s="273"/>
      <c r="E33" s="272"/>
    </row>
    <row r="34" spans="1:5" ht="15.75">
      <c r="A34" s="277" t="str">
        <f>+Z_ÖSSZEFÜGGÉSEK!A37</f>
        <v>2019.évi teljesített KIADÁSOK</v>
      </c>
      <c r="B34" s="274"/>
      <c r="C34" s="275"/>
      <c r="D34" s="273"/>
      <c r="E34" s="272"/>
    </row>
    <row r="35" spans="1:5" ht="12.75">
      <c r="A35" s="271"/>
      <c r="B35" s="272"/>
      <c r="C35" s="271"/>
      <c r="D35" s="273"/>
      <c r="E35" s="272"/>
    </row>
    <row r="36" spans="1:5" ht="12.75">
      <c r="A36" s="271" t="s">
        <v>474</v>
      </c>
      <c r="B36" s="272">
        <f>+'Z_1.1.sz.mell.'!E136</f>
        <v>257306240</v>
      </c>
      <c r="C36" s="271" t="s">
        <v>428</v>
      </c>
      <c r="D36" s="273">
        <f>+'Z_2.1.sz.mell'!I18+'Z_2.2.sz.mell'!I17</f>
        <v>257306240</v>
      </c>
      <c r="E36" s="272">
        <f>+B36-D36</f>
        <v>0</v>
      </c>
    </row>
    <row r="37" spans="1:5" ht="12.75">
      <c r="A37" s="271" t="s">
        <v>475</v>
      </c>
      <c r="B37" s="272">
        <f>+'Z_1.1.sz.mell.'!E161</f>
        <v>6289400</v>
      </c>
      <c r="C37" s="271" t="s">
        <v>439</v>
      </c>
      <c r="D37" s="273">
        <f>+'Z_2.1.sz.mell'!I29+'Z_2.2.sz.mell'!I30</f>
        <v>6289400</v>
      </c>
      <c r="E37" s="272">
        <f>+B37-D37</f>
        <v>0</v>
      </c>
    </row>
    <row r="38" spans="1:5" ht="12.75">
      <c r="A38" s="271" t="s">
        <v>480</v>
      </c>
      <c r="B38" s="272">
        <f>+'Z_1.1.sz.mell.'!E162</f>
        <v>263595640</v>
      </c>
      <c r="C38" s="271" t="s">
        <v>440</v>
      </c>
      <c r="D38" s="273">
        <f>+'Z_2.1.sz.mell'!I30+'Z_2.2.sz.mell'!I31</f>
        <v>263595640</v>
      </c>
      <c r="E38" s="272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Saci</cp:lastModifiedBy>
  <cp:lastPrinted>2020-07-29T09:39:53Z</cp:lastPrinted>
  <dcterms:created xsi:type="dcterms:W3CDTF">1999-10-30T10:30:45Z</dcterms:created>
  <dcterms:modified xsi:type="dcterms:W3CDTF">2020-07-29T09:39:57Z</dcterms:modified>
  <cp:category/>
  <cp:version/>
  <cp:contentType/>
  <cp:contentStatus/>
</cp:coreProperties>
</file>