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440" windowHeight="10110" firstSheet="13" activeTab="14"/>
  </bookViews>
  <sheets>
    <sheet name="Tartalomjegyzék" sheetId="16" r:id="rId1"/>
    <sheet name="1.sz.Összesítő" sheetId="4" r:id="rId2"/>
    <sheet name="2.sz.Önkormányzat" sheetId="2" r:id="rId3"/>
    <sheet name="3.sz.Cházi Közös Önk.Hiv." sheetId="3" r:id="rId4"/>
    <sheet name="4.sz.Óvoda" sheetId="5" r:id="rId5"/>
    <sheet name="5.sz.Könyvtár" sheetId="7" r:id="rId6"/>
    <sheet name="6.sz.Műv.Ház" sheetId="8" r:id="rId7"/>
    <sheet name="7.sz.Bölcsőde" sheetId="10" r:id="rId8"/>
    <sheet name="8.sz.CSSK" sheetId="9" r:id="rId9"/>
    <sheet name="9.sz.KSZKI" sheetId="11" r:id="rId10"/>
    <sheet name="10.sz.KÖLTSÉGVETBEV" sheetId="20" r:id="rId11"/>
    <sheet name="11.sz.KÖLTSÉGVETKIAD." sheetId="19" r:id="rId12"/>
    <sheet name="12.sz.MÉRLEG" sheetId="18" r:id="rId13"/>
    <sheet name="13.sz.MARADVÁNY" sheetId="17" r:id="rId14"/>
    <sheet name="14. sz EREDMÉNY" sheetId="21" r:id="rId15"/>
    <sheet name="15.szRÉSZESEDÉS" sheetId="22" r:id="rId16"/>
    <sheet name="16.sz Közvetett támogatások" sheetId="23" r:id="rId17"/>
    <sheet name="Munka1" sheetId="24" r:id="rId18"/>
  </sheets>
  <definedNames>
    <definedName name="_xlnm.Print_Area" localSheetId="1">'1.sz.Összesítő'!$A$1:$AO$54</definedName>
  </definedNames>
  <calcPr calcId="125725"/>
</workbook>
</file>

<file path=xl/calcChain.xml><?xml version="1.0" encoding="utf-8"?>
<calcChain xmlns="http://schemas.openxmlformats.org/spreadsheetml/2006/main">
  <c r="E26" i="23"/>
  <c r="F26"/>
  <c r="G26"/>
  <c r="D11" l="1"/>
  <c r="D26" s="1"/>
  <c r="C26"/>
  <c r="A17" i="22"/>
  <c r="B48" i="21"/>
  <c r="A19" i="17"/>
  <c r="AM8" i="4"/>
  <c r="AN6" i="2"/>
  <c r="AO6"/>
  <c r="AM6"/>
  <c r="AN28"/>
  <c r="AO28"/>
  <c r="AM28"/>
  <c r="A89" i="19"/>
  <c r="A59" i="18"/>
  <c r="AN7" i="4"/>
  <c r="AN45" s="1"/>
  <c r="AO45"/>
  <c r="AM7"/>
  <c r="B13" i="10"/>
  <c r="B12" i="8"/>
  <c r="B12" i="7"/>
  <c r="B16" i="5"/>
  <c r="B12" i="3"/>
  <c r="B31" i="2"/>
  <c r="B47" i="4"/>
  <c r="B21" i="11"/>
  <c r="B15" i="9"/>
  <c r="J8"/>
  <c r="J9"/>
  <c r="J7"/>
  <c r="F7"/>
  <c r="F31" i="4"/>
  <c r="AI11" i="9"/>
  <c r="AJ11"/>
  <c r="AK11"/>
  <c r="AD43" i="4"/>
  <c r="AD32"/>
  <c r="D38"/>
  <c r="E38"/>
  <c r="G38"/>
  <c r="H38"/>
  <c r="I38"/>
  <c r="K38"/>
  <c r="L38"/>
  <c r="M38"/>
  <c r="O38"/>
  <c r="P38"/>
  <c r="Q38"/>
  <c r="W38"/>
  <c r="X38"/>
  <c r="Y38"/>
  <c r="AA38"/>
  <c r="AB38"/>
  <c r="AC38"/>
  <c r="AE38"/>
  <c r="C38"/>
  <c r="S10" i="9"/>
  <c r="T10"/>
  <c r="U10"/>
  <c r="S11"/>
  <c r="T11"/>
  <c r="AG10"/>
  <c r="AH10" s="1"/>
  <c r="AF10"/>
  <c r="D9"/>
  <c r="F9" s="1"/>
  <c r="D8"/>
  <c r="E8"/>
  <c r="F8" s="1"/>
  <c r="Y12"/>
  <c r="Y41" i="4" s="1"/>
  <c r="E11" i="9"/>
  <c r="U11" s="1"/>
  <c r="E12"/>
  <c r="E41" i="4" s="1"/>
  <c r="C12" i="9"/>
  <c r="C41" i="4" s="1"/>
  <c r="AI10" i="9"/>
  <c r="AJ10"/>
  <c r="AK10"/>
  <c r="AL10" s="1"/>
  <c r="AF12"/>
  <c r="AF41" i="4" s="1"/>
  <c r="AG12" i="9"/>
  <c r="AH12" s="1"/>
  <c r="AH41" i="4" s="1"/>
  <c r="AE12" i="9"/>
  <c r="AE41" i="4" s="1"/>
  <c r="Q12" i="9"/>
  <c r="Z9" i="11"/>
  <c r="Z10"/>
  <c r="Z11"/>
  <c r="Z13"/>
  <c r="Z7"/>
  <c r="R7"/>
  <c r="N13"/>
  <c r="N12"/>
  <c r="N7"/>
  <c r="I12"/>
  <c r="J16"/>
  <c r="H12"/>
  <c r="J17"/>
  <c r="J8"/>
  <c r="J9"/>
  <c r="J10"/>
  <c r="J11"/>
  <c r="J12"/>
  <c r="J13"/>
  <c r="J14"/>
  <c r="J7"/>
  <c r="F11"/>
  <c r="F12"/>
  <c r="F13"/>
  <c r="AG18"/>
  <c r="AH18" s="1"/>
  <c r="AF18"/>
  <c r="AI17"/>
  <c r="AJ17"/>
  <c r="AK17"/>
  <c r="AI18"/>
  <c r="AJ18"/>
  <c r="AG19"/>
  <c r="AG43" i="4" s="1"/>
  <c r="AF19" i="11"/>
  <c r="AF43" i="4" s="1"/>
  <c r="S17" i="11"/>
  <c r="T17"/>
  <c r="U17"/>
  <c r="V17" s="1"/>
  <c r="I19"/>
  <c r="I43" i="4" s="1"/>
  <c r="H19" i="11"/>
  <c r="J19" s="1"/>
  <c r="J43" i="4" s="1"/>
  <c r="Y12" i="11"/>
  <c r="Y19" s="1"/>
  <c r="E7"/>
  <c r="F7" s="1"/>
  <c r="E8"/>
  <c r="D8"/>
  <c r="E10"/>
  <c r="F10" s="1"/>
  <c r="E9"/>
  <c r="F9" s="1"/>
  <c r="D9"/>
  <c r="AE13" i="5"/>
  <c r="AI11"/>
  <c r="AJ11"/>
  <c r="AK11"/>
  <c r="AL11" s="1"/>
  <c r="AL37" i="4" s="1"/>
  <c r="AI12" i="5"/>
  <c r="AI38" i="4" s="1"/>
  <c r="AK12" i="5"/>
  <c r="AK38" i="4" s="1"/>
  <c r="AG12" i="5"/>
  <c r="AG38" i="4" s="1"/>
  <c r="AF12" i="5"/>
  <c r="AF13" s="1"/>
  <c r="S12"/>
  <c r="S38" i="4" s="1"/>
  <c r="T12" i="5"/>
  <c r="T38" i="4" s="1"/>
  <c r="U12" i="5"/>
  <c r="U38" i="4" s="1"/>
  <c r="N8" i="5"/>
  <c r="N34" i="4" s="1"/>
  <c r="N32" s="1"/>
  <c r="J7" i="5"/>
  <c r="J33" i="4" s="1"/>
  <c r="J8" i="5"/>
  <c r="J34" i="4" s="1"/>
  <c r="C13" i="5"/>
  <c r="Y8"/>
  <c r="Y13" s="1"/>
  <c r="D37" i="4"/>
  <c r="E37"/>
  <c r="G37"/>
  <c r="H37"/>
  <c r="I37"/>
  <c r="K37"/>
  <c r="L37"/>
  <c r="M37"/>
  <c r="O37"/>
  <c r="P37"/>
  <c r="Q37"/>
  <c r="W37"/>
  <c r="X37"/>
  <c r="Y37"/>
  <c r="AA37"/>
  <c r="AB37"/>
  <c r="AC37"/>
  <c r="AE37"/>
  <c r="AF37"/>
  <c r="AG37"/>
  <c r="AI37"/>
  <c r="AJ37"/>
  <c r="AK37"/>
  <c r="C37"/>
  <c r="C33"/>
  <c r="G33"/>
  <c r="H33"/>
  <c r="I33"/>
  <c r="K33"/>
  <c r="L33"/>
  <c r="M33"/>
  <c r="O33"/>
  <c r="P33"/>
  <c r="Q33"/>
  <c r="W33"/>
  <c r="X33"/>
  <c r="Y33"/>
  <c r="AA33"/>
  <c r="AB33"/>
  <c r="AC33"/>
  <c r="AE33"/>
  <c r="AF33"/>
  <c r="AG33"/>
  <c r="AL33"/>
  <c r="C34"/>
  <c r="E34"/>
  <c r="G34"/>
  <c r="H34"/>
  <c r="I34"/>
  <c r="K34"/>
  <c r="L34"/>
  <c r="M34"/>
  <c r="O34"/>
  <c r="P34"/>
  <c r="Q34"/>
  <c r="W34"/>
  <c r="X34"/>
  <c r="Y34"/>
  <c r="AA34"/>
  <c r="AB34"/>
  <c r="AC34"/>
  <c r="AE34"/>
  <c r="AF34"/>
  <c r="AG34"/>
  <c r="AL34"/>
  <c r="C35"/>
  <c r="D35"/>
  <c r="E35"/>
  <c r="G35"/>
  <c r="H35"/>
  <c r="I35"/>
  <c r="K35"/>
  <c r="L35"/>
  <c r="M35"/>
  <c r="O35"/>
  <c r="P35"/>
  <c r="Q35"/>
  <c r="W35"/>
  <c r="X35"/>
  <c r="Y35"/>
  <c r="AA35"/>
  <c r="AB35"/>
  <c r="AC35"/>
  <c r="AE35"/>
  <c r="AF35"/>
  <c r="AG35"/>
  <c r="AL35"/>
  <c r="C36"/>
  <c r="D36"/>
  <c r="E36"/>
  <c r="G36"/>
  <c r="H36"/>
  <c r="I36"/>
  <c r="K36"/>
  <c r="L36"/>
  <c r="M36"/>
  <c r="O36"/>
  <c r="P36"/>
  <c r="Q36"/>
  <c r="W36"/>
  <c r="X36"/>
  <c r="Y36"/>
  <c r="AA36"/>
  <c r="AB36"/>
  <c r="AC36"/>
  <c r="AE36"/>
  <c r="AF36"/>
  <c r="AG36"/>
  <c r="AL36"/>
  <c r="F11" i="5"/>
  <c r="F37" i="4" s="1"/>
  <c r="S11" i="5"/>
  <c r="S37" i="4" s="1"/>
  <c r="T11" i="5"/>
  <c r="T37" i="4" s="1"/>
  <c r="U11" i="5"/>
  <c r="V11" s="1"/>
  <c r="E7"/>
  <c r="E13" s="1"/>
  <c r="G13"/>
  <c r="H13"/>
  <c r="I13"/>
  <c r="J13" s="1"/>
  <c r="K13"/>
  <c r="L13"/>
  <c r="M13"/>
  <c r="N13"/>
  <c r="O13"/>
  <c r="P13"/>
  <c r="Q13"/>
  <c r="R13"/>
  <c r="W13"/>
  <c r="X13"/>
  <c r="Z13"/>
  <c r="AA13"/>
  <c r="AB13"/>
  <c r="AC13"/>
  <c r="AD13"/>
  <c r="D8"/>
  <c r="D34" i="4" s="1"/>
  <c r="D7" i="5"/>
  <c r="D13" s="1"/>
  <c r="F13" s="1"/>
  <c r="D24" i="4"/>
  <c r="E24"/>
  <c r="G24"/>
  <c r="H24"/>
  <c r="I24"/>
  <c r="K24"/>
  <c r="L24"/>
  <c r="M24"/>
  <c r="O24"/>
  <c r="P24"/>
  <c r="Q24"/>
  <c r="T24"/>
  <c r="U24"/>
  <c r="W24"/>
  <c r="X24"/>
  <c r="Y24"/>
  <c r="AA24"/>
  <c r="AB24"/>
  <c r="AC24"/>
  <c r="AD24"/>
  <c r="AE24"/>
  <c r="AF24"/>
  <c r="AG24"/>
  <c r="AJ24"/>
  <c r="AK24"/>
  <c r="D25"/>
  <c r="E25"/>
  <c r="G25"/>
  <c r="H25"/>
  <c r="I25"/>
  <c r="K25"/>
  <c r="L25"/>
  <c r="M25"/>
  <c r="O25"/>
  <c r="P25"/>
  <c r="Q25"/>
  <c r="S25"/>
  <c r="W25"/>
  <c r="X25"/>
  <c r="Y25"/>
  <c r="AA25"/>
  <c r="AB25"/>
  <c r="AC25"/>
  <c r="AD25"/>
  <c r="AE25"/>
  <c r="AF25"/>
  <c r="AG25"/>
  <c r="AI25"/>
  <c r="AJ25"/>
  <c r="AK25"/>
  <c r="D26"/>
  <c r="E26"/>
  <c r="G26"/>
  <c r="H26"/>
  <c r="I26"/>
  <c r="K26"/>
  <c r="L26"/>
  <c r="M26"/>
  <c r="O26"/>
  <c r="P26"/>
  <c r="Q26"/>
  <c r="S26"/>
  <c r="W26"/>
  <c r="X26"/>
  <c r="Y26"/>
  <c r="AA26"/>
  <c r="AB26"/>
  <c r="AC26"/>
  <c r="AD26"/>
  <c r="AE26"/>
  <c r="AF26"/>
  <c r="AG26"/>
  <c r="AI26"/>
  <c r="AJ26"/>
  <c r="D27"/>
  <c r="E27"/>
  <c r="G27"/>
  <c r="H27"/>
  <c r="I27"/>
  <c r="K27"/>
  <c r="L27"/>
  <c r="M27"/>
  <c r="O27"/>
  <c r="P27"/>
  <c r="Q27"/>
  <c r="S27"/>
  <c r="W27"/>
  <c r="X27"/>
  <c r="Y27"/>
  <c r="AA27"/>
  <c r="AB27"/>
  <c r="AC27"/>
  <c r="AD27"/>
  <c r="AE27"/>
  <c r="AF27"/>
  <c r="AG27"/>
  <c r="AI27"/>
  <c r="AJ27"/>
  <c r="D28"/>
  <c r="E28"/>
  <c r="G28"/>
  <c r="H28"/>
  <c r="I28"/>
  <c r="K28"/>
  <c r="L28"/>
  <c r="M28"/>
  <c r="O28"/>
  <c r="P28"/>
  <c r="Q28"/>
  <c r="S28"/>
  <c r="T28"/>
  <c r="U28"/>
  <c r="W28"/>
  <c r="X28"/>
  <c r="Y28"/>
  <c r="AA28"/>
  <c r="AB28"/>
  <c r="AC28"/>
  <c r="AD28"/>
  <c r="AE28"/>
  <c r="AF28"/>
  <c r="AG28"/>
  <c r="AI28"/>
  <c r="C25"/>
  <c r="C26"/>
  <c r="C27"/>
  <c r="C28"/>
  <c r="AH13" i="2"/>
  <c r="AD13"/>
  <c r="Z21"/>
  <c r="Z22"/>
  <c r="Z27"/>
  <c r="Z28" i="4" s="1"/>
  <c r="X19" i="2"/>
  <c r="AG15"/>
  <c r="AH15" s="1"/>
  <c r="Y20"/>
  <c r="Z20" s="1"/>
  <c r="R13"/>
  <c r="Q15"/>
  <c r="Q28" s="1"/>
  <c r="N10"/>
  <c r="N17"/>
  <c r="N19"/>
  <c r="N20"/>
  <c r="N25"/>
  <c r="N26" i="4" s="1"/>
  <c r="N26" i="2"/>
  <c r="N27" i="4" s="1"/>
  <c r="J21" i="2"/>
  <c r="J22"/>
  <c r="J25"/>
  <c r="J26" i="4" s="1"/>
  <c r="J17" i="2"/>
  <c r="J19"/>
  <c r="J20"/>
  <c r="J16"/>
  <c r="J13"/>
  <c r="J11"/>
  <c r="J10"/>
  <c r="J8"/>
  <c r="J7"/>
  <c r="E22"/>
  <c r="E19"/>
  <c r="F24"/>
  <c r="F25" i="4" s="1"/>
  <c r="F19" i="2"/>
  <c r="F16"/>
  <c r="F13"/>
  <c r="X10"/>
  <c r="Z10" s="1"/>
  <c r="P10"/>
  <c r="AK25"/>
  <c r="AK26" i="4" s="1"/>
  <c r="AK26" i="2"/>
  <c r="AK27" i="4" s="1"/>
  <c r="AJ27" i="2"/>
  <c r="AJ28" i="4" s="1"/>
  <c r="AK27" i="2"/>
  <c r="AK28" i="4" s="1"/>
  <c r="I18" i="2"/>
  <c r="H18"/>
  <c r="D22"/>
  <c r="E21"/>
  <c r="F21" s="1"/>
  <c r="D21"/>
  <c r="D6" s="1"/>
  <c r="D7" i="4" s="1"/>
  <c r="T24" i="2"/>
  <c r="T25" i="4" s="1"/>
  <c r="U24" i="2"/>
  <c r="U25" i="4" s="1"/>
  <c r="T25" i="2"/>
  <c r="T26" i="4" s="1"/>
  <c r="U25" i="2"/>
  <c r="U26" i="4" s="1"/>
  <c r="T26" i="2"/>
  <c r="T27" i="4" s="1"/>
  <c r="U26" i="2"/>
  <c r="U27" i="4" s="1"/>
  <c r="Y19" i="2"/>
  <c r="Z19" s="1"/>
  <c r="Y15"/>
  <c r="Z15" s="1"/>
  <c r="P15"/>
  <c r="L6"/>
  <c r="E8"/>
  <c r="F8" s="1"/>
  <c r="D28"/>
  <c r="E28"/>
  <c r="G28"/>
  <c r="H28"/>
  <c r="I28"/>
  <c r="K28"/>
  <c r="L28"/>
  <c r="M28"/>
  <c r="O28"/>
  <c r="P28"/>
  <c r="W28"/>
  <c r="X28"/>
  <c r="AA28"/>
  <c r="AB28"/>
  <c r="AC28"/>
  <c r="AE28"/>
  <c r="AF28"/>
  <c r="AG28"/>
  <c r="E6"/>
  <c r="F6" s="1"/>
  <c r="F7" i="4" s="1"/>
  <c r="G6" i="2"/>
  <c r="G7" i="4" s="1"/>
  <c r="H6" i="2"/>
  <c r="H7" i="4" s="1"/>
  <c r="I6" i="2"/>
  <c r="I7" i="4" s="1"/>
  <c r="K6" i="2"/>
  <c r="K7" i="4" s="1"/>
  <c r="M6" i="2"/>
  <c r="M7" i="4" s="1"/>
  <c r="O6" i="2"/>
  <c r="O7" i="4" s="1"/>
  <c r="Q6" i="2"/>
  <c r="Q7" i="4" s="1"/>
  <c r="W6" i="2"/>
  <c r="W7" i="4" s="1"/>
  <c r="X6" i="2"/>
  <c r="Y6"/>
  <c r="Y7" i="4" s="1"/>
  <c r="AA6" i="2"/>
  <c r="AA7" i="4" s="1"/>
  <c r="AB6" i="2"/>
  <c r="AB7" i="4" s="1"/>
  <c r="AC6" i="2"/>
  <c r="AC7" i="4" s="1"/>
  <c r="AE6" i="2"/>
  <c r="AE7" i="4" s="1"/>
  <c r="AF6" i="2"/>
  <c r="AF7" i="4" s="1"/>
  <c r="AG6" i="2"/>
  <c r="AG7" i="4" s="1"/>
  <c r="C6" i="2"/>
  <c r="C7" i="4" s="1"/>
  <c r="C28" i="2"/>
  <c r="F8" i="11" l="1"/>
  <c r="AK18"/>
  <c r="AL18" s="1"/>
  <c r="Y43" i="4"/>
  <c r="J18" i="2"/>
  <c r="F22"/>
  <c r="F7" i="5"/>
  <c r="F33" i="4" s="1"/>
  <c r="AC32"/>
  <c r="AA32"/>
  <c r="D33"/>
  <c r="D32" s="1"/>
  <c r="U37"/>
  <c r="V37" s="1"/>
  <c r="AJ12" i="5"/>
  <c r="AJ38" i="4" s="1"/>
  <c r="AG13" i="5"/>
  <c r="AH13" s="1"/>
  <c r="AL12"/>
  <c r="AL38" i="4" s="1"/>
  <c r="Z12" i="11"/>
  <c r="AF38" i="4"/>
  <c r="AF32" s="1"/>
  <c r="Q41"/>
  <c r="P6" i="2"/>
  <c r="P7" i="4" s="1"/>
  <c r="AG32"/>
  <c r="AE32"/>
  <c r="AB32"/>
  <c r="Y32"/>
  <c r="E33"/>
  <c r="AH12" i="5"/>
  <c r="AH38" i="4" s="1"/>
  <c r="AH32" s="1"/>
  <c r="AH19" i="11"/>
  <c r="AH43" i="4" s="1"/>
  <c r="D12" i="9"/>
  <c r="D41" i="4" s="1"/>
  <c r="H43"/>
  <c r="AG41"/>
  <c r="AJ36"/>
  <c r="AJ34"/>
  <c r="AJ33"/>
  <c r="X32"/>
  <c r="AI36"/>
  <c r="AI35"/>
  <c r="AI34"/>
  <c r="U36"/>
  <c r="U35"/>
  <c r="U34"/>
  <c r="Q32"/>
  <c r="O32"/>
  <c r="I32"/>
  <c r="G32"/>
  <c r="W32"/>
  <c r="L32"/>
  <c r="AK36"/>
  <c r="AK35"/>
  <c r="AI33"/>
  <c r="U33"/>
  <c r="P32"/>
  <c r="M32"/>
  <c r="K32"/>
  <c r="H32"/>
  <c r="E32"/>
  <c r="C32"/>
  <c r="S36"/>
  <c r="S35"/>
  <c r="S34"/>
  <c r="S33"/>
  <c r="AK33"/>
  <c r="AK34"/>
  <c r="T36"/>
  <c r="T35"/>
  <c r="T34"/>
  <c r="AJ35"/>
  <c r="R15" i="2"/>
  <c r="V26"/>
  <c r="V27" i="4" s="1"/>
  <c r="V24" i="2"/>
  <c r="V25" i="4" s="1"/>
  <c r="AH28" i="2"/>
  <c r="Y28"/>
  <c r="J28"/>
  <c r="V25"/>
  <c r="V26" i="4" s="1"/>
  <c r="Z6" i="2"/>
  <c r="Z7" i="4" s="1"/>
  <c r="N6" i="2"/>
  <c r="N7" i="4" s="1"/>
  <c r="J6" i="2"/>
  <c r="J7" i="4" s="1"/>
  <c r="R6" i="2"/>
  <c r="R7" i="4" s="1"/>
  <c r="AD6" i="2"/>
  <c r="AD7" i="4" s="1"/>
  <c r="AD28" i="2"/>
  <c r="AL27"/>
  <c r="AL28" i="4" s="1"/>
  <c r="X7"/>
  <c r="F28" i="2"/>
  <c r="R28"/>
  <c r="AH6"/>
  <c r="AH7" i="4" s="1"/>
  <c r="E7"/>
  <c r="N28" i="2"/>
  <c r="L7" i="4"/>
  <c r="Z9" i="10"/>
  <c r="AH9"/>
  <c r="AJ9"/>
  <c r="N7"/>
  <c r="J7"/>
  <c r="E7"/>
  <c r="F7" s="1"/>
  <c r="D7"/>
  <c r="AJ7"/>
  <c r="AK7"/>
  <c r="AJ8"/>
  <c r="AK8"/>
  <c r="AK10" s="1"/>
  <c r="AK9"/>
  <c r="AI8"/>
  <c r="AI9"/>
  <c r="AF10"/>
  <c r="AG10"/>
  <c r="AH10" s="1"/>
  <c r="AH42" i="4" s="1"/>
  <c r="AE10" i="10"/>
  <c r="AC10"/>
  <c r="AC42" i="4" s="1"/>
  <c r="AA10" i="10"/>
  <c r="X10"/>
  <c r="Y10"/>
  <c r="Z10" s="1"/>
  <c r="Z42" i="4" s="1"/>
  <c r="AL42" s="1"/>
  <c r="W10" i="10"/>
  <c r="T7"/>
  <c r="T10" s="1"/>
  <c r="U7"/>
  <c r="V7" s="1"/>
  <c r="T8"/>
  <c r="U8"/>
  <c r="T9"/>
  <c r="U9"/>
  <c r="S8"/>
  <c r="S9"/>
  <c r="P10"/>
  <c r="Q10"/>
  <c r="O10"/>
  <c r="L10"/>
  <c r="M10"/>
  <c r="N10" s="1"/>
  <c r="N42" i="4" s="1"/>
  <c r="K10" i="10"/>
  <c r="H10"/>
  <c r="I10"/>
  <c r="J10" s="1"/>
  <c r="J42" i="4" s="1"/>
  <c r="G10" i="10"/>
  <c r="D10"/>
  <c r="F10" s="1"/>
  <c r="F42" i="4" s="1"/>
  <c r="E10" i="10"/>
  <c r="C10"/>
  <c r="Z7" i="8"/>
  <c r="E7"/>
  <c r="R8"/>
  <c r="J7"/>
  <c r="AG8"/>
  <c r="AH8" s="1"/>
  <c r="AF8"/>
  <c r="AJ7"/>
  <c r="AJ9" s="1"/>
  <c r="AK7"/>
  <c r="AL7" s="1"/>
  <c r="AJ8"/>
  <c r="AI8"/>
  <c r="AF9"/>
  <c r="AG9"/>
  <c r="AH9" s="1"/>
  <c r="AH40" i="4" s="1"/>
  <c r="AE9" i="8"/>
  <c r="U7"/>
  <c r="U8"/>
  <c r="V8" s="1"/>
  <c r="T8"/>
  <c r="P9"/>
  <c r="Q9"/>
  <c r="R9" s="1"/>
  <c r="R40" i="4" s="1"/>
  <c r="O9" i="8"/>
  <c r="O40" i="4" s="1"/>
  <c r="D7" i="8"/>
  <c r="D9" s="1"/>
  <c r="D40" i="4" s="1"/>
  <c r="AG8" i="7"/>
  <c r="AF8"/>
  <c r="AJ8" s="1"/>
  <c r="AJ7"/>
  <c r="AK7"/>
  <c r="AL7" s="1"/>
  <c r="AK8"/>
  <c r="AK9" s="1"/>
  <c r="AI8"/>
  <c r="AF9"/>
  <c r="AG9"/>
  <c r="AE9"/>
  <c r="X9"/>
  <c r="Y9"/>
  <c r="W9"/>
  <c r="Z7"/>
  <c r="N7"/>
  <c r="R8"/>
  <c r="P9"/>
  <c r="R9" s="1"/>
  <c r="R39" i="4" s="1"/>
  <c r="Q9" i="7"/>
  <c r="O9"/>
  <c r="S8"/>
  <c r="T8"/>
  <c r="U8"/>
  <c r="J7"/>
  <c r="E7"/>
  <c r="D7"/>
  <c r="D9" s="1"/>
  <c r="D39" i="4" s="1"/>
  <c r="X30"/>
  <c r="X51" s="1"/>
  <c r="Y30"/>
  <c r="Y51" s="1"/>
  <c r="X31"/>
  <c r="Y31"/>
  <c r="W31"/>
  <c r="W30"/>
  <c r="AH7" i="3"/>
  <c r="AH30" i="4" s="1"/>
  <c r="AD7" i="3"/>
  <c r="Z7"/>
  <c r="Z30" i="4" s="1"/>
  <c r="Z29" s="1"/>
  <c r="R7" i="3"/>
  <c r="R30" i="4" s="1"/>
  <c r="R29" s="1"/>
  <c r="N7" i="3"/>
  <c r="N30" i="4" s="1"/>
  <c r="N29" s="1"/>
  <c r="J7" i="3"/>
  <c r="F7"/>
  <c r="F30" i="4" s="1"/>
  <c r="F29" s="1"/>
  <c r="D7" i="3"/>
  <c r="W8" i="4"/>
  <c r="AI44"/>
  <c r="AJ44"/>
  <c r="AK44"/>
  <c r="AL31"/>
  <c r="AL44"/>
  <c r="AF42"/>
  <c r="AG42"/>
  <c r="AF39"/>
  <c r="AG39"/>
  <c r="AF30"/>
  <c r="AF51" s="1"/>
  <c r="AG30"/>
  <c r="AG51" s="1"/>
  <c r="AF31"/>
  <c r="AG31"/>
  <c r="AE31"/>
  <c r="AB30"/>
  <c r="AB51" s="1"/>
  <c r="AC30"/>
  <c r="AB31"/>
  <c r="AC31"/>
  <c r="AA31"/>
  <c r="S7" i="8"/>
  <c r="S9" s="1"/>
  <c r="X42" i="4"/>
  <c r="Y42"/>
  <c r="W42"/>
  <c r="Y39"/>
  <c r="Y29"/>
  <c r="S44"/>
  <c r="T44"/>
  <c r="U44"/>
  <c r="P39"/>
  <c r="Q39"/>
  <c r="P40"/>
  <c r="Q40"/>
  <c r="P42"/>
  <c r="Q42"/>
  <c r="O42"/>
  <c r="O39"/>
  <c r="P30"/>
  <c r="Q30"/>
  <c r="P31"/>
  <c r="Q31"/>
  <c r="Q29" s="1"/>
  <c r="P29"/>
  <c r="O31"/>
  <c r="O30"/>
  <c r="L42"/>
  <c r="M42"/>
  <c r="L30"/>
  <c r="L51" s="1"/>
  <c r="M30"/>
  <c r="M51" s="1"/>
  <c r="L31"/>
  <c r="M31"/>
  <c r="K31"/>
  <c r="K30"/>
  <c r="H42"/>
  <c r="I42"/>
  <c r="H30"/>
  <c r="I30"/>
  <c r="J30"/>
  <c r="J29" s="1"/>
  <c r="D42"/>
  <c r="E42"/>
  <c r="D30"/>
  <c r="D51" s="1"/>
  <c r="E30"/>
  <c r="E51" s="1"/>
  <c r="D31"/>
  <c r="T31" s="1"/>
  <c r="E31"/>
  <c r="C8"/>
  <c r="D8"/>
  <c r="E8"/>
  <c r="G8"/>
  <c r="H8"/>
  <c r="I8"/>
  <c r="J8"/>
  <c r="K8"/>
  <c r="L8"/>
  <c r="M8"/>
  <c r="O8"/>
  <c r="P8"/>
  <c r="Q8"/>
  <c r="X8"/>
  <c r="Y8"/>
  <c r="AA8"/>
  <c r="AB8"/>
  <c r="AC8"/>
  <c r="AD8"/>
  <c r="AE8"/>
  <c r="AF8"/>
  <c r="AG8"/>
  <c r="C9"/>
  <c r="D9"/>
  <c r="E9"/>
  <c r="F9"/>
  <c r="G9"/>
  <c r="H9"/>
  <c r="I9"/>
  <c r="J9"/>
  <c r="K9"/>
  <c r="L9"/>
  <c r="M9"/>
  <c r="O9"/>
  <c r="P9"/>
  <c r="Q9"/>
  <c r="W9"/>
  <c r="X9"/>
  <c r="Y9"/>
  <c r="AA9"/>
  <c r="AB9"/>
  <c r="AC9"/>
  <c r="AD9"/>
  <c r="AE9"/>
  <c r="AF9"/>
  <c r="AG9"/>
  <c r="C10"/>
  <c r="D10"/>
  <c r="E10"/>
  <c r="G10"/>
  <c r="H10"/>
  <c r="I10"/>
  <c r="J10"/>
  <c r="K10"/>
  <c r="L10"/>
  <c r="M10"/>
  <c r="O10"/>
  <c r="P10"/>
  <c r="Q10"/>
  <c r="V10"/>
  <c r="W10"/>
  <c r="X10"/>
  <c r="Y10"/>
  <c r="AA10"/>
  <c r="AB10"/>
  <c r="AC10"/>
  <c r="AD10"/>
  <c r="AE10"/>
  <c r="AF10"/>
  <c r="AG10"/>
  <c r="C11"/>
  <c r="D11"/>
  <c r="E11"/>
  <c r="G11"/>
  <c r="H11"/>
  <c r="I11"/>
  <c r="J11"/>
  <c r="K11"/>
  <c r="L11"/>
  <c r="M11"/>
  <c r="N11"/>
  <c r="O11"/>
  <c r="P11"/>
  <c r="Q11"/>
  <c r="W11"/>
  <c r="X11"/>
  <c r="Y11"/>
  <c r="Z11"/>
  <c r="AA11"/>
  <c r="AB11"/>
  <c r="AC11"/>
  <c r="AD11"/>
  <c r="AE11"/>
  <c r="AF11"/>
  <c r="AG11"/>
  <c r="C12"/>
  <c r="D12"/>
  <c r="E12"/>
  <c r="G12"/>
  <c r="H12"/>
  <c r="I12"/>
  <c r="J12"/>
  <c r="K12"/>
  <c r="L12"/>
  <c r="M12"/>
  <c r="O12"/>
  <c r="P12"/>
  <c r="Q12"/>
  <c r="W12"/>
  <c r="X12"/>
  <c r="Y12"/>
  <c r="AA12"/>
  <c r="AB12"/>
  <c r="AC12"/>
  <c r="AD12"/>
  <c r="AE12"/>
  <c r="AF12"/>
  <c r="AG12"/>
  <c r="C13"/>
  <c r="D13"/>
  <c r="E13"/>
  <c r="G13"/>
  <c r="H13"/>
  <c r="I13"/>
  <c r="K13"/>
  <c r="L13"/>
  <c r="M13"/>
  <c r="O13"/>
  <c r="P13"/>
  <c r="Q13"/>
  <c r="W13"/>
  <c r="X13"/>
  <c r="Y13"/>
  <c r="AA13"/>
  <c r="AB13"/>
  <c r="AC13"/>
  <c r="AD13"/>
  <c r="AE13"/>
  <c r="AF13"/>
  <c r="AG13"/>
  <c r="C14"/>
  <c r="D14"/>
  <c r="E14"/>
  <c r="F14"/>
  <c r="G14"/>
  <c r="H14"/>
  <c r="I14"/>
  <c r="J14"/>
  <c r="K14"/>
  <c r="L14"/>
  <c r="M14"/>
  <c r="O14"/>
  <c r="P14"/>
  <c r="Q14"/>
  <c r="R14"/>
  <c r="W14"/>
  <c r="X14"/>
  <c r="Y14"/>
  <c r="AA14"/>
  <c r="AB14"/>
  <c r="AC14"/>
  <c r="AD14"/>
  <c r="AE14"/>
  <c r="AF14"/>
  <c r="AG14"/>
  <c r="AH14"/>
  <c r="C15"/>
  <c r="D15"/>
  <c r="E15"/>
  <c r="G15"/>
  <c r="H15"/>
  <c r="I15"/>
  <c r="K15"/>
  <c r="L15"/>
  <c r="M15"/>
  <c r="O15"/>
  <c r="P15"/>
  <c r="Q15"/>
  <c r="W15"/>
  <c r="X15"/>
  <c r="Y15"/>
  <c r="AA15"/>
  <c r="AB15"/>
  <c r="AC15"/>
  <c r="AD15"/>
  <c r="AE15"/>
  <c r="AF15"/>
  <c r="AG15"/>
  <c r="C16"/>
  <c r="D16"/>
  <c r="E16"/>
  <c r="G16"/>
  <c r="H16"/>
  <c r="I16"/>
  <c r="K16"/>
  <c r="L16"/>
  <c r="M16"/>
  <c r="O16"/>
  <c r="P16"/>
  <c r="Q16"/>
  <c r="R16"/>
  <c r="W16"/>
  <c r="X16"/>
  <c r="Y16"/>
  <c r="Z16"/>
  <c r="AA16"/>
  <c r="AB16"/>
  <c r="AC16"/>
  <c r="AD16"/>
  <c r="AE16"/>
  <c r="AF16"/>
  <c r="AG16"/>
  <c r="AH16"/>
  <c r="C17"/>
  <c r="D17"/>
  <c r="E17"/>
  <c r="F17"/>
  <c r="G17"/>
  <c r="H17"/>
  <c r="I17"/>
  <c r="J17"/>
  <c r="K17"/>
  <c r="L17"/>
  <c r="M17"/>
  <c r="O17"/>
  <c r="P17"/>
  <c r="Q17"/>
  <c r="W17"/>
  <c r="X17"/>
  <c r="Y17"/>
  <c r="AA17"/>
  <c r="AB17"/>
  <c r="AC17"/>
  <c r="AD17"/>
  <c r="AE17"/>
  <c r="AF17"/>
  <c r="AG17"/>
  <c r="C18"/>
  <c r="D18"/>
  <c r="E18"/>
  <c r="G18"/>
  <c r="H18"/>
  <c r="I18"/>
  <c r="J18"/>
  <c r="K18"/>
  <c r="L18"/>
  <c r="M18"/>
  <c r="N18"/>
  <c r="O18"/>
  <c r="P18"/>
  <c r="Q18"/>
  <c r="Q50" s="1"/>
  <c r="W18"/>
  <c r="X18"/>
  <c r="Y18"/>
  <c r="AA18"/>
  <c r="AB18"/>
  <c r="AC18"/>
  <c r="AD18"/>
  <c r="AE18"/>
  <c r="AF18"/>
  <c r="AG18"/>
  <c r="C19"/>
  <c r="D19"/>
  <c r="E19"/>
  <c r="G19"/>
  <c r="H19"/>
  <c r="I19"/>
  <c r="J19"/>
  <c r="K19"/>
  <c r="L19"/>
  <c r="M19"/>
  <c r="O19"/>
  <c r="P19"/>
  <c r="Q19"/>
  <c r="W19"/>
  <c r="X19"/>
  <c r="Y19"/>
  <c r="AA19"/>
  <c r="AB19"/>
  <c r="AC19"/>
  <c r="AD19"/>
  <c r="AE19"/>
  <c r="AF19"/>
  <c r="AG19"/>
  <c r="C20"/>
  <c r="D20"/>
  <c r="E20"/>
  <c r="F20"/>
  <c r="G20"/>
  <c r="H20"/>
  <c r="I20"/>
  <c r="J20"/>
  <c r="K20"/>
  <c r="L20"/>
  <c r="M20"/>
  <c r="N20"/>
  <c r="O20"/>
  <c r="P20"/>
  <c r="Q20"/>
  <c r="W20"/>
  <c r="X20"/>
  <c r="Y20"/>
  <c r="Z20"/>
  <c r="AA20"/>
  <c r="AB20"/>
  <c r="AC20"/>
  <c r="AD20"/>
  <c r="AE20"/>
  <c r="AF20"/>
  <c r="AG20"/>
  <c r="C21"/>
  <c r="D21"/>
  <c r="E21"/>
  <c r="G21"/>
  <c r="H21"/>
  <c r="I21"/>
  <c r="J21"/>
  <c r="K21"/>
  <c r="L21"/>
  <c r="M21"/>
  <c r="N21"/>
  <c r="O21"/>
  <c r="P21"/>
  <c r="Q21"/>
  <c r="W21"/>
  <c r="X21"/>
  <c r="Y21"/>
  <c r="Z21"/>
  <c r="AA21"/>
  <c r="AB21"/>
  <c r="AC21"/>
  <c r="AD21"/>
  <c r="AE21"/>
  <c r="AF21"/>
  <c r="AG21"/>
  <c r="C22"/>
  <c r="D22"/>
  <c r="E22"/>
  <c r="F22"/>
  <c r="G22"/>
  <c r="H22"/>
  <c r="I22"/>
  <c r="J22"/>
  <c r="K22"/>
  <c r="L22"/>
  <c r="M22"/>
  <c r="O22"/>
  <c r="P22"/>
  <c r="Q22"/>
  <c r="W22"/>
  <c r="X22"/>
  <c r="Y22"/>
  <c r="Z22"/>
  <c r="AA22"/>
  <c r="AB22"/>
  <c r="AC22"/>
  <c r="AD22"/>
  <c r="AE22"/>
  <c r="AF22"/>
  <c r="AG22"/>
  <c r="C23"/>
  <c r="D23"/>
  <c r="E23"/>
  <c r="F23"/>
  <c r="G23"/>
  <c r="H23"/>
  <c r="I23"/>
  <c r="J23"/>
  <c r="K23"/>
  <c r="L23"/>
  <c r="M23"/>
  <c r="O23"/>
  <c r="P23"/>
  <c r="Q23"/>
  <c r="W23"/>
  <c r="X23"/>
  <c r="Y23"/>
  <c r="Z23"/>
  <c r="AA23"/>
  <c r="AB23"/>
  <c r="AC23"/>
  <c r="AD23"/>
  <c r="AE23"/>
  <c r="AF23"/>
  <c r="AG23"/>
  <c r="C24"/>
  <c r="AJ7" i="2"/>
  <c r="AK7"/>
  <c r="AJ8"/>
  <c r="AK8"/>
  <c r="AJ9"/>
  <c r="AK9"/>
  <c r="AJ10"/>
  <c r="AK10"/>
  <c r="AJ11"/>
  <c r="AK11"/>
  <c r="AJ12"/>
  <c r="AK12"/>
  <c r="AJ13"/>
  <c r="AK13"/>
  <c r="AJ14"/>
  <c r="AK14"/>
  <c r="AJ15"/>
  <c r="AK15"/>
  <c r="AJ16"/>
  <c r="AK16"/>
  <c r="AJ17"/>
  <c r="AK17"/>
  <c r="AJ18"/>
  <c r="AK18"/>
  <c r="AJ19"/>
  <c r="AK19"/>
  <c r="AJ20"/>
  <c r="AK20"/>
  <c r="AJ21"/>
  <c r="AK21"/>
  <c r="AJ22"/>
  <c r="AK22"/>
  <c r="AI8"/>
  <c r="AI9"/>
  <c r="AI11"/>
  <c r="AI12"/>
  <c r="AI13"/>
  <c r="AI14"/>
  <c r="AI15"/>
  <c r="AI16"/>
  <c r="AI17"/>
  <c r="AI18"/>
  <c r="AI19"/>
  <c r="AI20"/>
  <c r="AI21"/>
  <c r="AI22"/>
  <c r="AI23"/>
  <c r="AI24" i="4" s="1"/>
  <c r="AI7" i="2"/>
  <c r="T7"/>
  <c r="U7"/>
  <c r="T8"/>
  <c r="U8"/>
  <c r="T10"/>
  <c r="U10"/>
  <c r="T11"/>
  <c r="U11"/>
  <c r="T13"/>
  <c r="U13"/>
  <c r="T15"/>
  <c r="U15"/>
  <c r="T16"/>
  <c r="U16"/>
  <c r="T17"/>
  <c r="U17"/>
  <c r="T18"/>
  <c r="U18"/>
  <c r="T19"/>
  <c r="U19"/>
  <c r="T20"/>
  <c r="U20"/>
  <c r="T21"/>
  <c r="U21"/>
  <c r="T22"/>
  <c r="U22"/>
  <c r="S8"/>
  <c r="S9"/>
  <c r="S10"/>
  <c r="S11"/>
  <c r="S12"/>
  <c r="S13"/>
  <c r="S14"/>
  <c r="S15"/>
  <c r="S16"/>
  <c r="S17"/>
  <c r="S18"/>
  <c r="S19"/>
  <c r="S20"/>
  <c r="S21"/>
  <c r="S22"/>
  <c r="S23"/>
  <c r="S24" i="4" s="1"/>
  <c r="S7" i="2"/>
  <c r="AJ7" i="3"/>
  <c r="AK7"/>
  <c r="AJ8"/>
  <c r="AK8"/>
  <c r="AI8"/>
  <c r="AI7"/>
  <c r="AF9"/>
  <c r="AF54" i="4" s="1"/>
  <c r="AG9" i="3"/>
  <c r="AG54" i="4" s="1"/>
  <c r="AE9" i="3"/>
  <c r="AB9"/>
  <c r="AC9"/>
  <c r="X9"/>
  <c r="Y9"/>
  <c r="W9"/>
  <c r="T7"/>
  <c r="U7"/>
  <c r="T8"/>
  <c r="U8"/>
  <c r="V8"/>
  <c r="S8"/>
  <c r="S7"/>
  <c r="S9" s="1"/>
  <c r="P9"/>
  <c r="Q9"/>
  <c r="O9"/>
  <c r="L9"/>
  <c r="M9"/>
  <c r="N9" s="1"/>
  <c r="K9"/>
  <c r="H9"/>
  <c r="I9"/>
  <c r="G9"/>
  <c r="D9"/>
  <c r="E9"/>
  <c r="F9" s="1"/>
  <c r="AJ7" i="5"/>
  <c r="AK7"/>
  <c r="AJ8"/>
  <c r="AK8"/>
  <c r="AJ9"/>
  <c r="AK9"/>
  <c r="AJ10"/>
  <c r="AK10"/>
  <c r="AI8"/>
  <c r="AI9"/>
  <c r="AI10"/>
  <c r="AI7"/>
  <c r="T7"/>
  <c r="U7"/>
  <c r="V7" s="1"/>
  <c r="T8"/>
  <c r="U8"/>
  <c r="V8" s="1"/>
  <c r="T9"/>
  <c r="U9"/>
  <c r="T10"/>
  <c r="U10"/>
  <c r="S8"/>
  <c r="S9"/>
  <c r="S10"/>
  <c r="S7"/>
  <c r="S13" s="1"/>
  <c r="AI7" i="7"/>
  <c r="AI9" s="1"/>
  <c r="AB9"/>
  <c r="AB39" i="4" s="1"/>
  <c r="AC9" i="7"/>
  <c r="AC39" i="4" s="1"/>
  <c r="X39"/>
  <c r="T7" i="7"/>
  <c r="U7"/>
  <c r="S7"/>
  <c r="L9"/>
  <c r="L39" i="4" s="1"/>
  <c r="M9" i="7"/>
  <c r="M39" i="4" s="1"/>
  <c r="K9" i="7"/>
  <c r="K39" i="4" s="1"/>
  <c r="H9" i="7"/>
  <c r="H39" i="4" s="1"/>
  <c r="I9" i="7"/>
  <c r="I39" i="4" s="1"/>
  <c r="E9" i="7"/>
  <c r="E39" i="4" s="1"/>
  <c r="AI7" i="8"/>
  <c r="AI9" s="1"/>
  <c r="AF40" i="4"/>
  <c r="AG40"/>
  <c r="AB9" i="8"/>
  <c r="AB40" i="4" s="1"/>
  <c r="AC9" i="8"/>
  <c r="AC40" i="4" s="1"/>
  <c r="X9" i="8"/>
  <c r="X40" i="4" s="1"/>
  <c r="AJ40" s="1"/>
  <c r="Y9" i="8"/>
  <c r="Y40" i="4" s="1"/>
  <c r="AK40" s="1"/>
  <c r="T7" i="8"/>
  <c r="T9" s="1"/>
  <c r="L9"/>
  <c r="L40" i="4" s="1"/>
  <c r="M9" i="8"/>
  <c r="M40" i="4" s="1"/>
  <c r="H9" i="8"/>
  <c r="H40" i="4" s="1"/>
  <c r="I9" i="8"/>
  <c r="I40" i="4" s="1"/>
  <c r="E9" i="8"/>
  <c r="E40" i="4" s="1"/>
  <c r="AI7" i="10"/>
  <c r="AI10" s="1"/>
  <c r="U10"/>
  <c r="V10" s="1"/>
  <c r="S7"/>
  <c r="S10" s="1"/>
  <c r="AJ7" i="9"/>
  <c r="AK7"/>
  <c r="AJ8"/>
  <c r="AK8"/>
  <c r="AJ9"/>
  <c r="AK9"/>
  <c r="AI8"/>
  <c r="AI9"/>
  <c r="AI7"/>
  <c r="AI12" s="1"/>
  <c r="AB12"/>
  <c r="AB41" i="4" s="1"/>
  <c r="AC12" i="9"/>
  <c r="AC41" i="4" s="1"/>
  <c r="T7" i="9"/>
  <c r="U7"/>
  <c r="T8"/>
  <c r="U8"/>
  <c r="V8" s="1"/>
  <c r="T9"/>
  <c r="U9"/>
  <c r="V9" s="1"/>
  <c r="S8"/>
  <c r="S9"/>
  <c r="S12" s="1"/>
  <c r="S41" i="4" s="1"/>
  <c r="S7" i="9"/>
  <c r="X12"/>
  <c r="X41" i="4" s="1"/>
  <c r="W12" i="9"/>
  <c r="W41" i="4" s="1"/>
  <c r="P12" i="9"/>
  <c r="R12" s="1"/>
  <c r="R41" i="4" s="1"/>
  <c r="O12" i="9"/>
  <c r="O41" i="4" s="1"/>
  <c r="L12" i="9"/>
  <c r="L41" i="4" s="1"/>
  <c r="M12" i="9"/>
  <c r="M41" i="4" s="1"/>
  <c r="H12" i="9"/>
  <c r="H41" i="4" s="1"/>
  <c r="I12" i="9"/>
  <c r="AJ7" i="11"/>
  <c r="AK7"/>
  <c r="AJ8"/>
  <c r="AK8"/>
  <c r="AJ9"/>
  <c r="AK9"/>
  <c r="AJ10"/>
  <c r="AK10"/>
  <c r="AJ11"/>
  <c r="AK11"/>
  <c r="AJ12"/>
  <c r="AK12"/>
  <c r="AJ13"/>
  <c r="AK13"/>
  <c r="AJ14"/>
  <c r="AK14"/>
  <c r="AJ15"/>
  <c r="AK15"/>
  <c r="AJ16"/>
  <c r="AK16"/>
  <c r="AI9"/>
  <c r="AI12"/>
  <c r="AI16"/>
  <c r="AB19"/>
  <c r="AB43" i="4" s="1"/>
  <c r="AC19" i="11"/>
  <c r="AC43" i="4" s="1"/>
  <c r="AA19" i="11"/>
  <c r="AA43" i="4" s="1"/>
  <c r="X19" i="11"/>
  <c r="X43" i="4" s="1"/>
  <c r="W19" i="11"/>
  <c r="W43" i="4" s="1"/>
  <c r="T7" i="11"/>
  <c r="U7"/>
  <c r="T8"/>
  <c r="U8"/>
  <c r="T9"/>
  <c r="U9"/>
  <c r="T10"/>
  <c r="U10"/>
  <c r="T11"/>
  <c r="U11"/>
  <c r="T12"/>
  <c r="U12"/>
  <c r="T13"/>
  <c r="U13"/>
  <c r="T14"/>
  <c r="U14"/>
  <c r="T15"/>
  <c r="U15"/>
  <c r="T16"/>
  <c r="T19" s="1"/>
  <c r="T43" i="4" s="1"/>
  <c r="U16" i="11"/>
  <c r="S8"/>
  <c r="S9"/>
  <c r="S10"/>
  <c r="S11"/>
  <c r="S12"/>
  <c r="S13"/>
  <c r="S14"/>
  <c r="S15"/>
  <c r="S16"/>
  <c r="S7"/>
  <c r="P19"/>
  <c r="P43" i="4" s="1"/>
  <c r="Q19" i="11"/>
  <c r="O19"/>
  <c r="O43" i="4" s="1"/>
  <c r="L19" i="11"/>
  <c r="M19"/>
  <c r="K19"/>
  <c r="K43" i="4" s="1"/>
  <c r="I54"/>
  <c r="G19" i="11"/>
  <c r="G43" i="4" s="1"/>
  <c r="D19" i="11"/>
  <c r="D43" i="4" s="1"/>
  <c r="E19" i="11"/>
  <c r="C19"/>
  <c r="C43" i="4" s="1"/>
  <c r="AA9" i="3"/>
  <c r="O54" i="4" l="1"/>
  <c r="X54"/>
  <c r="S19" i="11"/>
  <c r="S43" i="4" s="1"/>
  <c r="V14" i="11"/>
  <c r="V13"/>
  <c r="V12"/>
  <c r="V11"/>
  <c r="V10"/>
  <c r="V9"/>
  <c r="V8"/>
  <c r="V7"/>
  <c r="AC54" i="4"/>
  <c r="F7" i="7"/>
  <c r="V8"/>
  <c r="V7"/>
  <c r="Z9"/>
  <c r="Z39" i="4" s="1"/>
  <c r="F32"/>
  <c r="T33"/>
  <c r="AI32"/>
  <c r="AK32"/>
  <c r="L54"/>
  <c r="L43"/>
  <c r="Q54"/>
  <c r="Q43"/>
  <c r="R19" i="11"/>
  <c r="R43" i="4" s="1"/>
  <c r="U19" i="11"/>
  <c r="V16"/>
  <c r="M43" i="4"/>
  <c r="N19" i="11"/>
  <c r="N43" i="4" s="1"/>
  <c r="AK19" i="11"/>
  <c r="AL7"/>
  <c r="J12" i="9"/>
  <c r="J41" i="4" s="1"/>
  <c r="I41"/>
  <c r="AL13" i="11"/>
  <c r="AL12"/>
  <c r="AL11"/>
  <c r="AL10"/>
  <c r="AL9"/>
  <c r="T12" i="9"/>
  <c r="T41" i="4" s="1"/>
  <c r="AK12" i="9"/>
  <c r="AI13" i="5"/>
  <c r="AJ13"/>
  <c r="R9" i="3"/>
  <c r="U9"/>
  <c r="AK9"/>
  <c r="V8" i="2"/>
  <c r="V9" i="4" s="1"/>
  <c r="E50"/>
  <c r="AI31"/>
  <c r="AJ31"/>
  <c r="AD9" i="3"/>
  <c r="AL7"/>
  <c r="AH8" i="7"/>
  <c r="AH9" s="1"/>
  <c r="AH39" i="4" s="1"/>
  <c r="AL39" s="1"/>
  <c r="AK8" i="8"/>
  <c r="AD54" i="4"/>
  <c r="Y54"/>
  <c r="F12" i="9"/>
  <c r="F41" i="4" s="1"/>
  <c r="E43"/>
  <c r="E49" s="1"/>
  <c r="F19" i="11"/>
  <c r="F43" i="4" s="1"/>
  <c r="P54"/>
  <c r="P41"/>
  <c r="P49" s="1"/>
  <c r="V7" i="9"/>
  <c r="U12"/>
  <c r="AJ19" i="11"/>
  <c r="AJ43" i="4" s="1"/>
  <c r="AJ12" i="9"/>
  <c r="AK13" i="5"/>
  <c r="AL13" s="1"/>
  <c r="T9" i="3"/>
  <c r="AJ9"/>
  <c r="D50" i="4"/>
  <c r="D49"/>
  <c r="D52" s="1"/>
  <c r="F9" i="7"/>
  <c r="F39" i="4" s="1"/>
  <c r="T9" i="7"/>
  <c r="N9"/>
  <c r="N39" i="4" s="1"/>
  <c r="V7" i="8"/>
  <c r="F7"/>
  <c r="J9"/>
  <c r="J40" i="4" s="1"/>
  <c r="Z9" i="8"/>
  <c r="Z40" i="4" s="1"/>
  <c r="AL40" s="1"/>
  <c r="AJ10" i="10"/>
  <c r="AL10" s="1"/>
  <c r="Z19" i="11"/>
  <c r="Z43" i="4" s="1"/>
  <c r="I29"/>
  <c r="I51"/>
  <c r="H29"/>
  <c r="H51"/>
  <c r="AC51"/>
  <c r="AD30"/>
  <c r="AF50"/>
  <c r="Y50"/>
  <c r="M50"/>
  <c r="I50"/>
  <c r="AF49"/>
  <c r="AB49"/>
  <c r="Y49"/>
  <c r="L49"/>
  <c r="H49"/>
  <c r="S16"/>
  <c r="U13"/>
  <c r="S13"/>
  <c r="Q49"/>
  <c r="Q52" s="1"/>
  <c r="AG50"/>
  <c r="AC50"/>
  <c r="X50"/>
  <c r="L50"/>
  <c r="H50"/>
  <c r="AG49"/>
  <c r="AC49"/>
  <c r="X49"/>
  <c r="M49"/>
  <c r="M52" s="1"/>
  <c r="I49"/>
  <c r="V34"/>
  <c r="AJ32"/>
  <c r="AL32" s="1"/>
  <c r="V33"/>
  <c r="J32"/>
  <c r="J9" i="3"/>
  <c r="V9"/>
  <c r="M54" i="4"/>
  <c r="I45"/>
  <c r="H54"/>
  <c r="E54"/>
  <c r="D54"/>
  <c r="AJ41"/>
  <c r="U32"/>
  <c r="S32"/>
  <c r="T32"/>
  <c r="X29"/>
  <c r="U13" i="5"/>
  <c r="T13"/>
  <c r="S6" i="2"/>
  <c r="S7" i="4" s="1"/>
  <c r="S28" i="2"/>
  <c r="V22"/>
  <c r="V23" i="4" s="1"/>
  <c r="V21" i="2"/>
  <c r="V22" i="4" s="1"/>
  <c r="V20" i="2"/>
  <c r="V21" i="4" s="1"/>
  <c r="V19" i="2"/>
  <c r="V20" i="4" s="1"/>
  <c r="V18" i="2"/>
  <c r="V19" i="4" s="1"/>
  <c r="V17" i="2"/>
  <c r="V18" i="4" s="1"/>
  <c r="V16" i="2"/>
  <c r="V17" i="4" s="1"/>
  <c r="V15" i="2"/>
  <c r="V16" i="4" s="1"/>
  <c r="V13" i="2"/>
  <c r="V14" i="4" s="1"/>
  <c r="V11" i="2"/>
  <c r="V12" i="4" s="1"/>
  <c r="V10" i="2"/>
  <c r="V11" i="4" s="1"/>
  <c r="V7" i="2"/>
  <c r="V8" i="4" s="1"/>
  <c r="AL22" i="2"/>
  <c r="AL23" i="4" s="1"/>
  <c r="AL21" i="2"/>
  <c r="AL22" i="4" s="1"/>
  <c r="AL20" i="2"/>
  <c r="AL21" i="4" s="1"/>
  <c r="AL19" i="2"/>
  <c r="AL20" i="4" s="1"/>
  <c r="AL15" i="2"/>
  <c r="AL16" i="4" s="1"/>
  <c r="AL13" i="2"/>
  <c r="AL14" i="4" s="1"/>
  <c r="AL10" i="2"/>
  <c r="AL11" i="4" s="1"/>
  <c r="Z28" i="2"/>
  <c r="AI28"/>
  <c r="AI6"/>
  <c r="AI7" i="4" s="1"/>
  <c r="AK28" i="2"/>
  <c r="AK6"/>
  <c r="AK7" i="4" s="1"/>
  <c r="AJ6" i="2"/>
  <c r="AJ28"/>
  <c r="U28"/>
  <c r="U6"/>
  <c r="U7" i="4" s="1"/>
  <c r="T6" i="2"/>
  <c r="T7" i="4" s="1"/>
  <c r="T28" i="2"/>
  <c r="U31" i="4"/>
  <c r="AK39"/>
  <c r="AK41"/>
  <c r="AL41" s="1"/>
  <c r="AK31"/>
  <c r="AG29"/>
  <c r="H45"/>
  <c r="O29"/>
  <c r="O49" s="1"/>
  <c r="AB29"/>
  <c r="U23"/>
  <c r="T22"/>
  <c r="S21"/>
  <c r="U19"/>
  <c r="T18"/>
  <c r="S17"/>
  <c r="AK12"/>
  <c r="U9"/>
  <c r="S23"/>
  <c r="U21"/>
  <c r="T20"/>
  <c r="S19"/>
  <c r="U17"/>
  <c r="T16"/>
  <c r="AI12"/>
  <c r="AJ11"/>
  <c r="AK10"/>
  <c r="S9"/>
  <c r="AI23"/>
  <c r="U22"/>
  <c r="AI21"/>
  <c r="AK23"/>
  <c r="T23"/>
  <c r="AJ22"/>
  <c r="S22"/>
  <c r="AK21"/>
  <c r="T21"/>
  <c r="AJ20"/>
  <c r="U20"/>
  <c r="S20"/>
  <c r="AK19"/>
  <c r="AI19"/>
  <c r="T19"/>
  <c r="AJ18"/>
  <c r="U18"/>
  <c r="S18"/>
  <c r="AK17"/>
  <c r="AI17"/>
  <c r="T17"/>
  <c r="AJ16"/>
  <c r="U16"/>
  <c r="AK15"/>
  <c r="AI15"/>
  <c r="T15"/>
  <c r="AJ14"/>
  <c r="U14"/>
  <c r="S14"/>
  <c r="AK13"/>
  <c r="T13"/>
  <c r="AJ12"/>
  <c r="U12"/>
  <c r="S12"/>
  <c r="AK11"/>
  <c r="AI11"/>
  <c r="T11"/>
  <c r="AJ10"/>
  <c r="S10"/>
  <c r="U10"/>
  <c r="AK9"/>
  <c r="AI9"/>
  <c r="T9"/>
  <c r="AJ8"/>
  <c r="T8"/>
  <c r="AJ23"/>
  <c r="AK22"/>
  <c r="AI22"/>
  <c r="AJ21"/>
  <c r="AK20"/>
  <c r="AI20"/>
  <c r="AJ19"/>
  <c r="AK18"/>
  <c r="AI18"/>
  <c r="AJ17"/>
  <c r="AK16"/>
  <c r="AI16"/>
  <c r="AJ15"/>
  <c r="U15"/>
  <c r="S15"/>
  <c r="AK14"/>
  <c r="AI14"/>
  <c r="T14"/>
  <c r="AJ13"/>
  <c r="T12"/>
  <c r="U11"/>
  <c r="S11"/>
  <c r="T10"/>
  <c r="AJ9"/>
  <c r="AK8"/>
  <c r="U8"/>
  <c r="S8"/>
  <c r="AI8"/>
  <c r="AL9" i="10"/>
  <c r="AB10"/>
  <c r="AB54" i="4" s="1"/>
  <c r="U42"/>
  <c r="AK42"/>
  <c r="T42"/>
  <c r="AI13"/>
  <c r="E29"/>
  <c r="L29"/>
  <c r="AJ39"/>
  <c r="AI10"/>
  <c r="D29"/>
  <c r="K29"/>
  <c r="M29"/>
  <c r="AC29"/>
  <c r="AF29"/>
  <c r="AF45" s="1"/>
  <c r="AJ30"/>
  <c r="AJ51" s="1"/>
  <c r="U9" i="8"/>
  <c r="V9" s="1"/>
  <c r="F9"/>
  <c r="F40" i="4" s="1"/>
  <c r="U40"/>
  <c r="T40"/>
  <c r="AL8" i="7"/>
  <c r="AJ9"/>
  <c r="AL9" s="1"/>
  <c r="J9"/>
  <c r="J39" i="4" s="1"/>
  <c r="U9" i="7"/>
  <c r="V9" s="1"/>
  <c r="U39" i="4"/>
  <c r="T39"/>
  <c r="W29"/>
  <c r="V7" i="3"/>
  <c r="AH9"/>
  <c r="Z9"/>
  <c r="AK30" i="4"/>
  <c r="Y45"/>
  <c r="X45"/>
  <c r="U30"/>
  <c r="T30"/>
  <c r="T51" s="1"/>
  <c r="Q45"/>
  <c r="AE42"/>
  <c r="AA42"/>
  <c r="J45" l="1"/>
  <c r="V39"/>
  <c r="V40"/>
  <c r="AK9" i="8"/>
  <c r="AL9" s="1"/>
  <c r="AL8"/>
  <c r="AK54" i="4"/>
  <c r="AL12" i="9"/>
  <c r="AL19" i="11"/>
  <c r="AL43" i="4" s="1"/>
  <c r="AK43"/>
  <c r="AK49" s="1"/>
  <c r="U43"/>
  <c r="V43" s="1"/>
  <c r="V19" i="11"/>
  <c r="Z54" i="4"/>
  <c r="V12" i="9"/>
  <c r="U41" i="4"/>
  <c r="V41" s="1"/>
  <c r="AC52"/>
  <c r="L52"/>
  <c r="AL9" i="3"/>
  <c r="AK51" i="4"/>
  <c r="AL30"/>
  <c r="U51"/>
  <c r="V30"/>
  <c r="Z45"/>
  <c r="V42"/>
  <c r="AJ49"/>
  <c r="U50"/>
  <c r="V32"/>
  <c r="AD29"/>
  <c r="T49"/>
  <c r="T50"/>
  <c r="AK50"/>
  <c r="AH29"/>
  <c r="I52"/>
  <c r="X52"/>
  <c r="AG52"/>
  <c r="H52"/>
  <c r="Y52"/>
  <c r="AF52"/>
  <c r="P45"/>
  <c r="R45" s="1"/>
  <c r="P52"/>
  <c r="E52"/>
  <c r="V13" i="5"/>
  <c r="L45" i="4"/>
  <c r="U29"/>
  <c r="D45"/>
  <c r="T29"/>
  <c r="V29" s="1"/>
  <c r="M45"/>
  <c r="N45" s="1"/>
  <c r="AG45"/>
  <c r="AH45" s="1"/>
  <c r="AC45"/>
  <c r="T54"/>
  <c r="E45"/>
  <c r="AL6" i="2"/>
  <c r="AL7" i="4" s="1"/>
  <c r="AJ7"/>
  <c r="AJ54"/>
  <c r="AL28" i="2"/>
  <c r="AL29" i="4" s="1"/>
  <c r="U54"/>
  <c r="V28" i="2"/>
  <c r="V6"/>
  <c r="V7" i="4" s="1"/>
  <c r="AK29"/>
  <c r="AJ29"/>
  <c r="AB42"/>
  <c r="AB50" s="1"/>
  <c r="AB52" s="1"/>
  <c r="AI42"/>
  <c r="K51"/>
  <c r="AK52" l="1"/>
  <c r="U49"/>
  <c r="U52" s="1"/>
  <c r="AK45"/>
  <c r="U45"/>
  <c r="F45"/>
  <c r="T52"/>
  <c r="T45"/>
  <c r="AJ42"/>
  <c r="AJ50" s="1"/>
  <c r="AJ52" s="1"/>
  <c r="AB45"/>
  <c r="AJ45" s="1"/>
  <c r="AD45" l="1"/>
  <c r="AL45"/>
  <c r="V45"/>
  <c r="AE10" i="11"/>
  <c r="AI10" s="1"/>
  <c r="AE8" l="1"/>
  <c r="AI8" s="1"/>
  <c r="AE39" i="4" l="1"/>
  <c r="W39"/>
  <c r="AE30"/>
  <c r="AE51" s="1"/>
  <c r="AA30"/>
  <c r="G30"/>
  <c r="G51" s="1"/>
  <c r="C31"/>
  <c r="S31" s="1"/>
  <c r="C30"/>
  <c r="S30" s="1"/>
  <c r="AA51" l="1"/>
  <c r="AA29"/>
  <c r="AI30"/>
  <c r="W50"/>
  <c r="AN19" i="11" l="1"/>
  <c r="AM19"/>
  <c r="AM32" i="4"/>
  <c r="AM45" s="1"/>
  <c r="AE14" i="11" l="1"/>
  <c r="AI14" s="1"/>
  <c r="AE13"/>
  <c r="AI13" s="1"/>
  <c r="AE7"/>
  <c r="AI7" l="1"/>
  <c r="AE11"/>
  <c r="AI11" s="1"/>
  <c r="AE15"/>
  <c r="AI15" s="1"/>
  <c r="AE19" l="1"/>
  <c r="AE43" i="4"/>
  <c r="AE54"/>
  <c r="AI19" i="11"/>
  <c r="AI43" i="4" s="1"/>
  <c r="G42"/>
  <c r="G50" s="1"/>
  <c r="K42"/>
  <c r="K50" s="1"/>
  <c r="AA50"/>
  <c r="AM10" i="10"/>
  <c r="AN10"/>
  <c r="C42" i="4"/>
  <c r="G9" i="8"/>
  <c r="G40" i="4" s="1"/>
  <c r="K9" i="8"/>
  <c r="K40" i="4" s="1"/>
  <c r="W9" i="8"/>
  <c r="AA9"/>
  <c r="AM9"/>
  <c r="AN9"/>
  <c r="AO9"/>
  <c r="C9"/>
  <c r="C40" i="4" s="1"/>
  <c r="G9" i="7"/>
  <c r="G39" i="4" s="1"/>
  <c r="AA9" i="7"/>
  <c r="AM9"/>
  <c r="C9"/>
  <c r="AM9" i="3"/>
  <c r="AN9"/>
  <c r="AO9"/>
  <c r="C9"/>
  <c r="AM12" i="9"/>
  <c r="AA12"/>
  <c r="AA41" i="4" s="1"/>
  <c r="G12" i="9"/>
  <c r="G41" i="4" s="1"/>
  <c r="K12" i="9"/>
  <c r="AI9" i="3"/>
  <c r="O51" i="4"/>
  <c r="W51"/>
  <c r="O50"/>
  <c r="C51"/>
  <c r="O45"/>
  <c r="C29"/>
  <c r="S51"/>
  <c r="AI54" l="1"/>
  <c r="K41"/>
  <c r="K49" s="1"/>
  <c r="K52" s="1"/>
  <c r="S9" i="7"/>
  <c r="S54" i="4" s="1"/>
  <c r="C39"/>
  <c r="S39" s="1"/>
  <c r="AA54"/>
  <c r="AA39"/>
  <c r="AI39" s="1"/>
  <c r="W40"/>
  <c r="W45" s="1"/>
  <c r="W54"/>
  <c r="G49"/>
  <c r="G52" s="1"/>
  <c r="AI41"/>
  <c r="C49"/>
  <c r="C50"/>
  <c r="S42"/>
  <c r="S50" s="1"/>
  <c r="K45"/>
  <c r="S40"/>
  <c r="AA40"/>
  <c r="AA45" s="1"/>
  <c r="AE40"/>
  <c r="W49"/>
  <c r="W52" s="1"/>
  <c r="O52"/>
  <c r="G54"/>
  <c r="K54"/>
  <c r="C54"/>
  <c r="AE29"/>
  <c r="AI29" s="1"/>
  <c r="AI51"/>
  <c r="C45" l="1"/>
  <c r="S49"/>
  <c r="S52" s="1"/>
  <c r="C52"/>
  <c r="AE45"/>
  <c r="AI45" s="1"/>
  <c r="AA49"/>
  <c r="AA52" s="1"/>
  <c r="AI40"/>
  <c r="AI49" s="1"/>
  <c r="AE49"/>
  <c r="G29" l="1"/>
  <c r="G45" s="1"/>
  <c r="S29" l="1"/>
  <c r="S45"/>
  <c r="AE50"/>
  <c r="AE52" s="1"/>
  <c r="AI50"/>
  <c r="AI52" s="1"/>
</calcChain>
</file>

<file path=xl/comments1.xml><?xml version="1.0" encoding="utf-8"?>
<comments xmlns="http://schemas.openxmlformats.org/spreadsheetml/2006/main">
  <authors>
    <author>Felhasználó</author>
    <author>Szendrei Melinda</author>
  </authors>
  <commentList>
    <comment ref="W1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71986 GKP +adó bevétel 102894 e ft
</t>
        </r>
      </text>
    </comment>
    <comment ref="AA12" authorId="0">
      <text>
        <r>
          <rPr>
            <b/>
            <sz val="8"/>
            <color indexed="81"/>
            <rFont val="Tahoma"/>
            <family val="2"/>
            <charset val="238"/>
          </rPr>
          <t>Felhasználó:</t>
        </r>
        <r>
          <rPr>
            <sz val="8"/>
            <color indexed="81"/>
            <rFont val="Tahoma"/>
            <family val="2"/>
            <charset val="238"/>
          </rPr>
          <t xml:space="preserve">
+11 564 e ft önkorm. Működési támogatás</t>
        </r>
      </text>
    </comment>
    <comment ref="AC13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2015. évi normatíva bevétel +RÖT
</t>
        </r>
      </text>
    </comment>
    <comment ref="AG13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2016.00. havi finanszírozás
</t>
        </r>
      </text>
    </comment>
    <comment ref="AG15" authorId="1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2014. évi maradvány + Roma önk visszakapott 1646 eFt
</t>
        </r>
      </text>
    </comment>
  </commentList>
</comments>
</file>

<file path=xl/comments2.xml><?xml version="1.0" encoding="utf-8"?>
<comments xmlns="http://schemas.openxmlformats.org/spreadsheetml/2006/main">
  <authors>
    <author>Szendrei Melinda</author>
  </authors>
  <commentList>
    <comment ref="P7" authorId="0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Maradvány kiadási előirányzat oldala
</t>
        </r>
      </text>
    </comment>
  </commentList>
</comments>
</file>

<file path=xl/comments3.xml><?xml version="1.0" encoding="utf-8"?>
<comments xmlns="http://schemas.openxmlformats.org/spreadsheetml/2006/main">
  <authors>
    <author>Szendrei Melinda</author>
  </authors>
  <commentList>
    <comment ref="P7" authorId="0">
      <text>
        <r>
          <rPr>
            <b/>
            <sz val="9"/>
            <color indexed="81"/>
            <rFont val="Tahoma"/>
            <family val="2"/>
            <charset val="238"/>
          </rPr>
          <t>Szendrei Melinda:</t>
        </r>
        <r>
          <rPr>
            <sz val="9"/>
            <color indexed="81"/>
            <rFont val="Tahoma"/>
            <family val="2"/>
            <charset val="238"/>
          </rPr>
          <t xml:space="preserve">
Maradvány kiadási előirányzat része
</t>
        </r>
      </text>
    </comment>
  </commentList>
</comments>
</file>

<file path=xl/sharedStrings.xml><?xml version="1.0" encoding="utf-8"?>
<sst xmlns="http://schemas.openxmlformats.org/spreadsheetml/2006/main" count="1485" uniqueCount="615">
  <si>
    <t>ezer forint</t>
  </si>
  <si>
    <t>Kiadás</t>
  </si>
  <si>
    <t>Bevétel</t>
  </si>
  <si>
    <t>Létszám</t>
  </si>
  <si>
    <t>Normatíva
Bevétel</t>
  </si>
  <si>
    <t>teljes
munkaidős</t>
  </si>
  <si>
    <t>rész-
munkaidős</t>
  </si>
  <si>
    <t>közfoglalkoztatott</t>
  </si>
  <si>
    <t>Segélyezés</t>
  </si>
  <si>
    <t>Közfoglalkoztatás</t>
  </si>
  <si>
    <t>Pályázatok</t>
  </si>
  <si>
    <t>Polgármester, Alpolgármester, Képviselők, Bizottsági tagok</t>
  </si>
  <si>
    <t>Könyvtár</t>
  </si>
  <si>
    <t>Művelődési Ház</t>
  </si>
  <si>
    <t>Családsegítő Központ és Gyermekjóléti Központ</t>
  </si>
  <si>
    <t>Bölcsőde</t>
  </si>
  <si>
    <t>Kommunális Szolgáltató és Közfogl. Intézmény</t>
  </si>
  <si>
    <t>Cibakházi Vízmű</t>
  </si>
  <si>
    <t>Összesen</t>
  </si>
  <si>
    <t>Összesen Kiadás</t>
  </si>
  <si>
    <t>Összesen Bevétel</t>
  </si>
  <si>
    <t>Feladat</t>
  </si>
  <si>
    <t>045160-Közutak, hidak, alagutak üzemeltetése, fenntartása</t>
  </si>
  <si>
    <t>013350-Az önk. Vagyonnal való gazd.kapcs.feladatok-Lakások</t>
  </si>
  <si>
    <t>013350-Az önk. Vagyonnal való gazd.kapcs.feladatok-Nem lakó ing.</t>
  </si>
  <si>
    <t>013390-Egyéb kiegészítő szolgáltatások</t>
  </si>
  <si>
    <t>064010-Közvilágítás</t>
  </si>
  <si>
    <t>Intézmény megnevezése/Kormányzati funkció</t>
  </si>
  <si>
    <t>018020-Központi költségvetési befizetések</t>
  </si>
  <si>
    <t>018030-Támogatási célú finanszírozási műveletek (Int. Átadott összeg)</t>
  </si>
  <si>
    <t>018010-Önkormányzatok elszámolásai a központi költségvetéssel (Szoc. Társulásnak átadott összeg</t>
  </si>
  <si>
    <t>072111-Házi orvosi alapellátás</t>
  </si>
  <si>
    <t>081045-Sport támogatás</t>
  </si>
  <si>
    <t>072311-Fogorvosi alapellátás</t>
  </si>
  <si>
    <t>074031-Védőnők</t>
  </si>
  <si>
    <t>Cibakházi Közös Önkormányzati Hivatal</t>
  </si>
  <si>
    <t>011130-Önkormányzatok és önkormányzati hivatalok jogalkotó és általános igazgatási tevékenysége</t>
  </si>
  <si>
    <t>Cibakházi Napsugár Óvoda</t>
  </si>
  <si>
    <t>091110-Óvodai nevelés, ellátás szakmai feladatai</t>
  </si>
  <si>
    <t>091140-Óvodai nevelés, ellátás működési feladatai</t>
  </si>
  <si>
    <t>091120-Sajátos nevelési igényű gyermekek szakmai feladatai</t>
  </si>
  <si>
    <t>091110-Óvodai pályázat</t>
  </si>
  <si>
    <t>K</t>
  </si>
  <si>
    <t>Ö</t>
  </si>
  <si>
    <t>013350-Az önk. Vagyonnal való gazd.kapcs.feladatok- Iskola üzem.</t>
  </si>
  <si>
    <t>Á</t>
  </si>
  <si>
    <t>személyi+jár</t>
  </si>
  <si>
    <t>dologi</t>
  </si>
  <si>
    <t>felhalm</t>
  </si>
  <si>
    <t>int.át</t>
  </si>
  <si>
    <t>össz</t>
  </si>
  <si>
    <t>műk.bev</t>
  </si>
  <si>
    <t>norm</t>
  </si>
  <si>
    <t>int.átvett</t>
  </si>
  <si>
    <t>Cibakháza Nagyközség Önkormányzata</t>
  </si>
  <si>
    <t>ÖSSZESEN</t>
  </si>
  <si>
    <t>082044-Könyvtári szolgáltatások</t>
  </si>
  <si>
    <t>082091-Közművelődés – közösségi és társadalmi részvétel fejlesztése</t>
  </si>
  <si>
    <t>107055-Falugondnoki,tanyagondnoki szolgáltatás</t>
  </si>
  <si>
    <t>104042-Gyermekjóléti szolgáltatások</t>
  </si>
  <si>
    <t>107054-Családsegítés</t>
  </si>
  <si>
    <t>Családsegítő Központ és Gyermekjóléti Szolgálat</t>
  </si>
  <si>
    <t>Nagyközségi Könyvtár</t>
  </si>
  <si>
    <t>Nagyközségi Önkormányzati Bölcsőde</t>
  </si>
  <si>
    <t>104030- Gyermekek napközbeni ellátása</t>
  </si>
  <si>
    <t>Köztemető fenntartás-013320</t>
  </si>
  <si>
    <t>Állategészségügyi ellátás-042180</t>
  </si>
  <si>
    <t>Város-községgazdálkodás-066020</t>
  </si>
  <si>
    <t>1.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</si>
  <si>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</si>
  <si>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</si>
  <si>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</si>
  <si>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</si>
  <si>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</si>
  <si>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</si>
  <si>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</si>
  <si>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</si>
  <si>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 számú melléklet</t>
  </si>
  <si>
    <t>-</t>
  </si>
  <si>
    <t>Megnevezés</t>
  </si>
  <si>
    <t xml:space="preserve">Tartalomjegyzék </t>
  </si>
  <si>
    <t>2. számú melléklet</t>
  </si>
  <si>
    <t>12. számú melléklet</t>
  </si>
  <si>
    <t>13. számú melléklet</t>
  </si>
  <si>
    <t>Cibakháza Nagyközség Önkormányzata (intézmények nélkül) összesítése</t>
  </si>
  <si>
    <t>Cibakházi Közös Önkormányzati Hivatal kormányzati funkciók szerinti összesítése</t>
  </si>
  <si>
    <t>Cibakházi Napsugár Óvoda kormányzati funkciók szerinti összesítése</t>
  </si>
  <si>
    <t>Nagyközségi Könyvtár kormányzati funkciók szerinti összesítése</t>
  </si>
  <si>
    <t>Cibakháza Nagyközségi Művelődési Ház kormányzati funkciók szerinti összesítése</t>
  </si>
  <si>
    <t>Családsegítő Központ és Gyermekjóléti Szolgálat Cibakháza kormányzati funkciók szerinti összesítése</t>
  </si>
  <si>
    <t>Nagyközségi Önkormányzati Bölcsőde Cibakháza kormányzati funkciók szerinti összesítése</t>
  </si>
  <si>
    <t>Kommunális Szolgáltató és Közfoglalkoztatási Intézmény kormányzati funkciók szerinti összesítése</t>
  </si>
  <si>
    <t>Zöldterület-066010</t>
  </si>
  <si>
    <t>Szennyvíz gyűjtése tisztítása-052020</t>
  </si>
  <si>
    <t>018010-Önkormányzatok elszámolásai a központi költségvetéssel ADÓ bevétel</t>
  </si>
  <si>
    <t>Óvodai intézményi étkeztetés-096015</t>
  </si>
  <si>
    <t>Bölcsődei étkeztetés-104035</t>
  </si>
  <si>
    <t>Iskolai intézményi étkeztetés-096015</t>
  </si>
  <si>
    <t>Cibakháza Nagyközség Önkormányzata kormányzati funkciókkénti összesítése</t>
  </si>
  <si>
    <t>Kommunális Szolgáltató és Közfoglalkoztatási Intézmény</t>
  </si>
  <si>
    <t>Módosított ei.</t>
  </si>
  <si>
    <t>Eredeti ei.</t>
  </si>
  <si>
    <t>Teljesítés</t>
  </si>
  <si>
    <t>Teljesítés %-a</t>
  </si>
  <si>
    <t>Cibakháza Nagyközség Önkormányzata és intézményei</t>
  </si>
  <si>
    <t>Felhalmozási kiadás/Kisértékű tárgyi eszköz (056-057)</t>
  </si>
  <si>
    <t>Intézménynek/Önkormányzatnak/Társulásnak átadott összeg (055)</t>
  </si>
  <si>
    <t>018030-Támogatási célú finanszírozási műv.</t>
  </si>
  <si>
    <t>Személyi kiadás +
járulék (051-052)</t>
  </si>
  <si>
    <t>Dologi kiadás  (053)</t>
  </si>
  <si>
    <t>Intézményi bevétel / Egyéb támogatás (091-097)</t>
  </si>
  <si>
    <t>Önk. Kiegészítés/ Előző évi maradvány (098)</t>
  </si>
  <si>
    <t>018030- Támogatási célú finanszírozási műveletek</t>
  </si>
  <si>
    <t>041232- Start munkaprogram</t>
  </si>
  <si>
    <t>011130-Önk.és önk.hivatalok jogalkotó és ált.ig.tev.</t>
  </si>
  <si>
    <t>013330- Pályázatok</t>
  </si>
  <si>
    <t>041232-Közfoglalkoztatás</t>
  </si>
  <si>
    <t>047120-Piac üzemeltetése</t>
  </si>
  <si>
    <t>049010-Máshova nem sorolt gazdasági ügyek</t>
  </si>
  <si>
    <t>900020- Önkormányzatok funkcióra nem sor. Bev. Áht-kív (ADÓ)</t>
  </si>
  <si>
    <t>011130-Önk.és önk.hivatalok jogalkotó és ált.ig.tev. (POLG.ALPOLG.KÉPV.)</t>
  </si>
  <si>
    <t>013350-Az önk. Vagyonnal való gazd.kapcs.feladatok</t>
  </si>
  <si>
    <t>Dologi kiadás  (053)+ Segélyezés (054)</t>
  </si>
  <si>
    <t>Felhalmozási kiadás/Kisértékű tárgyi eszköz/Felhalm.átadott (056/057/058)</t>
  </si>
  <si>
    <t>Intézménynek/Önkormányzatnak/Társulásnak átadott összeg (055/059)</t>
  </si>
  <si>
    <t>072111-Háziorvosi alapellátás</t>
  </si>
  <si>
    <t>018010-Önkormányzatok elszámolásai a központi költségvetéssel</t>
  </si>
  <si>
    <t>041232- Közfoglalkoztatás</t>
  </si>
  <si>
    <t>Piac üzemeltetése- 047120</t>
  </si>
  <si>
    <t>Gondozási Központ étkeztetés-096025/562929</t>
  </si>
  <si>
    <t>Vendég étkeztetés-096025/562929</t>
  </si>
  <si>
    <t xml:space="preserve">Kommunális Szolgáltató és Közfoglalkoztatási Intézmény 2015. évi éves költségvetési beszámolója kormányzati funkciók szerinti összesítése </t>
  </si>
  <si>
    <t>Családsegítő Központ és Gyermekjóléti szolgálat 2015. évi éves költségvetési beszámolója kormányzati funkciók szerinti összesítése</t>
  </si>
  <si>
    <t>Nagyközségi Önkormányzati Bölcsőde 2015. évi éves költségvetési beszámolója kormányzati funkciók szerinti összesítése</t>
  </si>
  <si>
    <t>Nagyközségi Művelődési Ház 2015. évi éves költségvetési beszámolója kormányzati funkciók szerinti összesítése</t>
  </si>
  <si>
    <t>Nagyközségi Könyvtár 2015. évi éves költségvetési beszámolója kormányzati funkciók szerinti összesítése</t>
  </si>
  <si>
    <t>Cibakházi Napsugár Óvoda 2015. évi éves költségvetési beszámolója kormányzati funkciók szerinti összesítése</t>
  </si>
  <si>
    <t>Cibakházi Közös Önkormányzati Hivatal 2015. évi éves költségvetési beszámolója kormányzati funkciók szerinti összesítése</t>
  </si>
  <si>
    <t>Cibakháza Nagyközség Önkormányzata (intézmények nélkül) 2015. évi éves költségvetési beszámolója kormányzati funkciók szerinti összesítése</t>
  </si>
  <si>
    <t>018030-Támogatási célú fin.műv.</t>
  </si>
  <si>
    <t>1.számú melléklet</t>
  </si>
  <si>
    <t>#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</si>
  <si>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</si>
  <si>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</si>
  <si>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</si>
  <si>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</si>
  <si>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</si>
  <si>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</si>
  <si>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</si>
  <si>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</si>
  <si>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</si>
  <si>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</si>
  <si>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</si>
  <si>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</si>
  <si>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</si>
  <si>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</si>
  <si>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</si>
  <si>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</si>
  <si>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</si>
  <si>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</si>
  <si>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</si>
  <si>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</si>
  <si>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</si>
  <si>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Maradványkimutatás</t>
  </si>
  <si>
    <t>12/A - Mérleg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</si>
  <si>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</si>
  <si>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</si>
  <si>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</si>
  <si>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</si>
  <si>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</si>
  <si>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</si>
  <si>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</si>
  <si>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</si>
  <si>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</si>
  <si>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</si>
  <si>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</si>
  <si>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</si>
  <si>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</si>
  <si>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</si>
  <si>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</si>
  <si>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</si>
  <si>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</si>
  <si>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</si>
  <si>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</si>
  <si>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</si>
  <si>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</si>
  <si>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</si>
  <si>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</si>
  <si>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</si>
  <si>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</si>
  <si>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</si>
  <si>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</si>
  <si>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</si>
  <si>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</si>
  <si>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</si>
  <si>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</si>
  <si>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</si>
  <si>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</si>
  <si>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</si>
  <si>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</si>
  <si>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</si>
  <si>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</si>
  <si>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</si>
  <si>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</si>
  <si>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</si>
  <si>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</si>
  <si>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</si>
  <si>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</si>
  <si>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</si>
  <si>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</si>
  <si>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</si>
  <si>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</si>
  <si>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78</t>
  </si>
  <si>
    <t>D/I/4i - ebből: költségvetési évben esedékes követelések egyéb működési bevételekre</t>
  </si>
  <si>
    <t>101</t>
  </si>
  <si>
    <t>D/I Költségvetési évben esedékes követelések (=D/I/1+…+D/I/8)</t>
  </si>
  <si>
    <t>142</t>
  </si>
  <si>
    <t>D/III/1 Adott előlegek (=D/III/1a+…+D/III/1f)</t>
  </si>
  <si>
    <t>146</t>
  </si>
  <si>
    <t>D/III/1d - ebből: igénybe vett szolgáltatásra adott előlegek</t>
  </si>
  <si>
    <t>147</t>
  </si>
  <si>
    <t>D/III/1e - ebből: foglalkoztatottaknak adott előlegek</t>
  </si>
  <si>
    <t>151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</si>
  <si>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</si>
  <si>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</si>
  <si>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</si>
  <si>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</si>
  <si>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</si>
  <si>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</si>
  <si>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</si>
  <si>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</si>
  <si>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</si>
  <si>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</si>
  <si>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</si>
  <si>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</si>
  <si>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</si>
  <si>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</si>
  <si>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</si>
  <si>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</si>
  <si>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</si>
  <si>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</si>
  <si>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</si>
  <si>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</si>
  <si>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</si>
  <si>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</si>
  <si>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</si>
  <si>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</si>
  <si>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</si>
  <si>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178</t>
  </si>
  <si>
    <t>H/I/5 Költségvetési évben esedékes kötelezettségek egyéb működési célú kiadásokra (&gt;=H/I/5a+H/I/5b)</t>
  </si>
  <si>
    <t>181</t>
  </si>
  <si>
    <t>H/I/6 Költségvetési évben esedékes kötelezettségek beruházásokra</t>
  </si>
  <si>
    <t>199</t>
  </si>
  <si>
    <t>H/I Költségvetési évben esedékes kötelezettségek (=H/I/1+…+H/I/9)</t>
  </si>
  <si>
    <t>202</t>
  </si>
  <si>
    <t>H/II/3 Költségvetési évet követően esedékes kötelezettségek dologi kiadásokra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</si>
  <si>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</si>
  <si>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</si>
  <si>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</si>
  <si>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</si>
  <si>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228</t>
  </si>
  <si>
    <t>H/III/3 Más szervezetet megillető bevételek elszámolása</t>
  </si>
  <si>
    <t>236</t>
  </si>
  <si>
    <t>H/III Kötelezettség jellegű sajátos elszámolások (=H/III/1+…+H/III/10)</t>
  </si>
  <si>
    <t>237</t>
  </si>
  <si>
    <t>H) KÖTELEZETTSÉGEK (=H/I+H/II+H/III)</t>
  </si>
  <si>
    <t>243</t>
  </si>
  <si>
    <t>FORRÁSOK ÖSSZESEN (=G+H+I+J)</t>
  </si>
  <si>
    <t>01 - K1-K8. Költségvetési kiadások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</si>
  <si>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</si>
  <si>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</si>
  <si>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</si>
  <si>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</si>
  <si>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Kötelezettségvállalás, más fizetési kötelezettség - Költségvetési évet követően esedékes</t>
  </si>
  <si>
    <t>Kötelezettségvállalás, más fizetési kötelezettség - Költségvetési évet követően esedékes végleges</t>
  </si>
  <si>
    <t>Törvény szerinti illetmények, munkabérek        (K1101)</t>
  </si>
  <si>
    <t>Céljuttatás, projektprémium        (K1103)</t>
  </si>
  <si>
    <t>Készenléti, ügyeleti, helyettesítési díj, túlóra, túlszolgálat        (K1104)</t>
  </si>
  <si>
    <t>Jubileumi jutalom        (K1106)</t>
  </si>
  <si>
    <t>Béren kívüli juttatások        (K1107)</t>
  </si>
  <si>
    <t>09</t>
  </si>
  <si>
    <t>Közlekedési költségtérítés        (K1109)</t>
  </si>
  <si>
    <t>Egyéb költségtérítések        (K1110)</t>
  </si>
  <si>
    <t>Foglalkoztatottak egyéb személyi juttatásai(&gt;=14) (K1113)</t>
  </si>
  <si>
    <t>Foglalkoztatottak személyi juttatásai (=01+…+13)        (K11)</t>
  </si>
  <si>
    <t>Választott tisztségviselők juttatásai        (K121)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</si>
  <si>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</si>
  <si>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</si>
  <si>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</si>
  <si>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</si>
  <si>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</si>
  <si>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</si>
  <si>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</si>
  <si>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</si>
  <si>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</si>
  <si>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</si>
  <si>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</si>
  <si>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</si>
  <si>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</si>
  <si>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</si>
  <si>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</si>
  <si>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</si>
  <si>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</si>
  <si>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</si>
  <si>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</si>
  <si>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</si>
  <si>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</si>
  <si>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</si>
  <si>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</si>
  <si>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</si>
  <si>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</si>
  <si>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</si>
  <si>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</si>
  <si>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</si>
  <si>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</si>
  <si>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</si>
  <si>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</si>
  <si>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</si>
  <si>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</si>
  <si>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</si>
  <si>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40</t>
  </si>
  <si>
    <t>Karbantartási, kisjavítási szolgáltatások        (K334)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</si>
  <si>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</si>
  <si>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</si>
  <si>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</si>
  <si>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</si>
  <si>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</si>
  <si>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</si>
  <si>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</si>
  <si>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</si>
  <si>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</si>
  <si>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</si>
  <si>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</si>
  <si>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Fizetendő általános forgalmi adó         (K352)</t>
  </si>
  <si>
    <t>Kamatkiadások   (&gt;=52+53)        (K353)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</si>
  <si>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</si>
  <si>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</si>
  <si>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</si>
  <si>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</si>
  <si>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</si>
  <si>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</si>
  <si>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Családi támogatások (=63+…+73)        (K42)</t>
  </si>
  <si>
    <t>72</t>
  </si>
  <si>
    <t>ebből: óvodáztatási támogatás [Gyvt. 20/C. §]        (K42)</t>
  </si>
  <si>
    <t>75</t>
  </si>
  <si>
    <t>Betegséggel kapcsolatos (nem társadalombiztosítási) ellátások (=76+…+84) (K44)</t>
  </si>
  <si>
    <t>85</t>
  </si>
  <si>
    <t>Foglalkoztatással, munkanélküliséggel kapcsolatos ellátások (=86+…+94) (K45)</t>
  </si>
  <si>
    <t>93</t>
  </si>
  <si>
    <t>ebből: foglalkoztatást helyettesítő támogatás [Szoctv. 35. § (1) bek.]        (K45)</t>
  </si>
  <si>
    <t>95</t>
  </si>
  <si>
    <t>Lakhatással kapcsolatos ellátások (=96+…+101) (K46)</t>
  </si>
  <si>
    <t>98</t>
  </si>
  <si>
    <t>ebből: lakásfenntartási támogatás [Szoctv. 38. § (1) bek. a) és b) pontok]         (K46)</t>
  </si>
  <si>
    <t>102</t>
  </si>
  <si>
    <t>Intézményi ellátottak pénzbeli juttatásai (&gt;=103+104) (K47)</t>
  </si>
  <si>
    <t>104</t>
  </si>
  <si>
    <t>ebből: oktatásban résztvevők pénzbeli juttatásai        (K47)</t>
  </si>
  <si>
    <t>105</t>
  </si>
  <si>
    <t>Egyéb nem intézményi ellátások (&gt;=106+…+130)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</si>
  <si>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</si>
  <si>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</si>
  <si>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</si>
  <si>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</si>
  <si>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</si>
  <si>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</si>
  <si>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125</t>
  </si>
  <si>
    <t>ebből: köztemetés [Szoctv. 48.§]        (K48)</t>
  </si>
  <si>
    <t>128</t>
  </si>
  <si>
    <t>ebből: önkormányzat által saját hatáskörben (nem szociális és gyermekvédelmi előírások alapján) adott természetbeni ellátás        (K48)</t>
  </si>
  <si>
    <t>131</t>
  </si>
  <si>
    <t>Ellátottak pénzbeli juttatásai (=61+62+74+75+85+95+102+105) (K4)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</si>
  <si>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</si>
  <si>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</si>
  <si>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</si>
  <si>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</si>
  <si>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</si>
  <si>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</si>
  <si>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</si>
  <si>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(=134+135+136) (K502)</t>
  </si>
  <si>
    <t>138</t>
  </si>
  <si>
    <t>Működési célú garancia- és kezességvállalásból származó kifizetés államháztartáson belülre (K503)</t>
  </si>
  <si>
    <t>Egyéb működési célú támogatások államháztartáson belülre (=162+…+171) (K506)</t>
  </si>
  <si>
    <t>ebből: helyi önkormányzatok és költségvetési szerveik        (K506)</t>
  </si>
  <si>
    <t>169</t>
  </si>
  <si>
    <t>ebből: társulások és költségvetési szerveik        (K506)</t>
  </si>
  <si>
    <t>ebből: nemzetiségi önkormányzatok és költségvetési szerveik        (K506)</t>
  </si>
  <si>
    <t>174</t>
  </si>
  <si>
    <t>Működési célú visszatérítendő támogatások, kölcsönök nyújtása államháztartáson kívülre (=175+…+185)  (K508)</t>
  </si>
  <si>
    <t>ebből: háztartások        (K508)</t>
  </si>
  <si>
    <t>189</t>
  </si>
  <si>
    <t>Egyéb működési célú támogatások államháztartáson kívülre (=190+…+199) (K512)</t>
  </si>
  <si>
    <t>191</t>
  </si>
  <si>
    <t>ebből: nonprofit gazdasági társaságok        (K512)</t>
  </si>
  <si>
    <t>201</t>
  </si>
  <si>
    <t>Egyéb működési célú kiadások (=132+137+138+139+150+161+172+174+186+187+188+189+200)(K5)</t>
  </si>
  <si>
    <t>203</t>
  </si>
  <si>
    <t>Ingatlanok beszerzése, létesítése (&gt;=204) (K62)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</si>
  <si>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</si>
  <si>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</si>
  <si>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</si>
  <si>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</si>
  <si>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</si>
  <si>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</si>
  <si>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</si>
  <si>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</si>
  <si>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215</t>
  </si>
  <si>
    <t>Felújítások (=211+...+214)  (K7)</t>
  </si>
  <si>
    <t>265</t>
  </si>
  <si>
    <t>Felhalmozási célú támogatások az Európai Uniónak (K88)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</si>
  <si>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</si>
  <si>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</si>
  <si>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</si>
  <si>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</si>
  <si>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02 - Beszámoló a B1. - B7.  költségvetési bevételek előirányzatának teljesítéséről</t>
  </si>
  <si>
    <t>Követelés - Költségvetési évben esedékes</t>
  </si>
  <si>
    <t>Követelés - Költségvetési évet követően esedékes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</si>
  <si>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</si>
  <si>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</si>
  <si>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</si>
  <si>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</si>
  <si>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</si>
  <si>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</si>
  <si>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(=01+…+06)        (B11)</t>
  </si>
  <si>
    <t>Egyéb működési célú támogatások bevételei államháztartáson belülről (=33+…+42)        (B16)</t>
  </si>
  <si>
    <t>ebből: elkülönített állami pénzalapok        (B16)</t>
  </si>
  <si>
    <t>41</t>
  </si>
  <si>
    <t>ebből: nemzetiségi önkormányzatok és költségvetési szerveik        (B16)</t>
  </si>
  <si>
    <t>Működési célú támogatások államháztartáson belülről (=07+...+10+21+32)        (B1)</t>
  </si>
  <si>
    <t>Felhalmozási célú visszatérítendő támogatások, kölcsönök visszatérülése államháztartáson belülről (=47+…+56)        (B23)</t>
  </si>
  <si>
    <t>ebből: helyi önkormányzatok és költségvetési szerveik        (B23)</t>
  </si>
  <si>
    <t>Egyéb felhalmozási célú támogatások bevételei államháztartáson belülről (=69+…+78)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</si>
  <si>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</si>
  <si>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</si>
  <si>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</si>
  <si>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</si>
  <si>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83</t>
  </si>
  <si>
    <t>ebből: termőföld bérbeadásából származó jövedelem utáni személyi jövedelemadó        (B311)</t>
  </si>
  <si>
    <t>Jövedelemadók (=80+84)        (B31)</t>
  </si>
  <si>
    <t>109</t>
  </si>
  <si>
    <t>Vagyoni tipusú adók (=110+…+116)        (B34)</t>
  </si>
  <si>
    <t>110</t>
  </si>
  <si>
    <t>ebből: építményadó        (B34)</t>
  </si>
  <si>
    <t>112</t>
  </si>
  <si>
    <t>ebből: magánszemélyek kommunális adója        (B34)</t>
  </si>
  <si>
    <t>117</t>
  </si>
  <si>
    <t>Értékesítési és forgalmi adók (=118+…+139) (B351)</t>
  </si>
  <si>
    <t>124</t>
  </si>
  <si>
    <t>ebből: állandó jeleggel végzett iparűzési tevékenység után fizetett helyi iparűzési adó        (B351)</t>
  </si>
  <si>
    <t>145</t>
  </si>
  <si>
    <t>Gépjárműadók (=146+…+149) (B354)</t>
  </si>
  <si>
    <t>ebből: belföldi gépjárművek adójának a helyi önkormányzatot megillető része        (B354)</t>
  </si>
  <si>
    <t>150</t>
  </si>
  <si>
    <t>Egyéb áruhasználati és szolgáltatási adók  (=151+…+167) (B355)</t>
  </si>
  <si>
    <t>ebből: talajterhelési díj        (B355)</t>
  </si>
  <si>
    <t>Termékek és szolgáltatások adói (=117+140+144+145+150) (B35)</t>
  </si>
  <si>
    <t>Egyéb közhatalmi bevételek (&gt;=170+…+184) (B36)</t>
  </si>
  <si>
    <t>ebből: igazgatási szolgáltatási díjak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</si>
  <si>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</si>
  <si>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</si>
  <si>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</si>
  <si>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</si>
  <si>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</si>
  <si>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</si>
  <si>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</si>
  <si>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</si>
  <si>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</si>
  <si>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</si>
  <si>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</si>
  <si>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190</t>
  </si>
  <si>
    <t>Közvetített szolgáltatások ellenértéke  (&gt;=191) (B403)</t>
  </si>
  <si>
    <t>192</t>
  </si>
  <si>
    <t>Tulajdonosi bevételek (&gt;=193+…+198)  (B404)</t>
  </si>
  <si>
    <t>Ellátási díjak        (B405)</t>
  </si>
  <si>
    <t>200</t>
  </si>
  <si>
    <t>Kiszámlázott általános forgalmi adó        (B406)</t>
  </si>
  <si>
    <t>Általános forgalmi adó visszatérítése        (B407)</t>
  </si>
  <si>
    <t>Kamatbevételek (&gt;=203+204+205) (B408)</t>
  </si>
  <si>
    <t>Biztosító által fizetett kártérítés (B410)</t>
  </si>
  <si>
    <t>Egyéb működési bevételek (&gt;=213+214) (B411)</t>
  </si>
  <si>
    <t>Működési bevételek (=186+187+190+192+199+…+202+206+211+212) (B4)</t>
  </si>
  <si>
    <t>218</t>
  </si>
  <si>
    <t>Ingatlanok értékesítése (&gt;=219) (B52)</t>
  </si>
  <si>
    <t>224</t>
  </si>
  <si>
    <t>Felhalmozási bevételek (=216+218+220+221+223) (B5)</t>
  </si>
  <si>
    <t>238</t>
  </si>
  <si>
    <t>Egyéb működési célú átvett pénzeszközök (=239+…+249) (B65)</t>
  </si>
  <si>
    <t>246</t>
  </si>
  <si>
    <t>ebből: egyéb vállalkozások (B65)</t>
  </si>
  <si>
    <t>250</t>
  </si>
  <si>
    <t>Működési célú átvett pénzeszközök (=225+...+228+238) (B6)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</si>
  <si>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</si>
  <si>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</si>
  <si>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</si>
  <si>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</si>
  <si>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264</t>
  </si>
  <si>
    <t>Egyéb felhalmozási célú átvett pénzeszközök (=265+…+275) (B75)</t>
  </si>
  <si>
    <t>273</t>
  </si>
  <si>
    <t>ebből: Európai Unió  (B75)</t>
  </si>
  <si>
    <t>276</t>
  </si>
  <si>
    <t>Felhalmozási célú átvett pénzeszközök (=251+…+254+264) (B7)</t>
  </si>
  <si>
    <t>Költségvetési bevételek (=43+79+185+215+224+250+276) (B1-B7)</t>
  </si>
  <si>
    <t>Cibakháza Nagyközség Önkormányzatának 2015. évi maradvány  kimutatása</t>
  </si>
  <si>
    <t>Cibakháza Nagyközség Önkormányzatának 2015. évi vagyon kimutatása</t>
  </si>
  <si>
    <t>Cibakháza Nagyközség Önkormányzatának 2015. évi költségvetési kiadásai rovatrend szerint</t>
  </si>
  <si>
    <t>Cibakháza Nagyközség Önkormányzatának 2015. évi költségvetési bevételei rovatrend szerint</t>
  </si>
  <si>
    <t>Cibakháza Nagyközség Önkormányzata és intézményei 2015. évi éves költségvetési beszámolója kormányzati funkciók szerinti összesítése</t>
  </si>
  <si>
    <t>egyeztető sor (önk+intézmények)</t>
  </si>
  <si>
    <t>Cibakháza, 2016. május 31.</t>
  </si>
  <si>
    <t>10.számú melléklet</t>
  </si>
  <si>
    <t>11.számú melléklet</t>
  </si>
  <si>
    <t xml:space="preserve"> Eredménykimutatás</t>
  </si>
  <si>
    <t>Módosítások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</si>
  <si>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</si>
  <si>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</si>
  <si>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</si>
  <si>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</si>
  <si>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</si>
  <si>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</si>
  <si>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</si>
  <si>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</si>
  <si>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</si>
  <si>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12</t>
  </si>
  <si>
    <t>09        Anyagköltség</t>
  </si>
  <si>
    <t>10        Igénybe vett szolgáltatások értéke</t>
  </si>
  <si>
    <t>14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</si>
  <si>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</si>
  <si>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</si>
  <si>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</si>
  <si>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</si>
  <si>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</si>
  <si>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</si>
  <si>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</si>
  <si>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</si>
  <si>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</si>
  <si>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23</t>
  </si>
  <si>
    <t>A) TEVÉKENYSÉGEK EREDMÉNYE (=I±II+III-IV-V-VI-VII) (23=04±07+11-(16+20+21+22))</t>
  </si>
  <si>
    <t>24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</si>
  <si>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</si>
  <si>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</si>
  <si>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</si>
  <si>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</si>
  <si>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</si>
  <si>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</si>
  <si>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</si>
  <si>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</si>
  <si>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</si>
  <si>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</si>
  <si>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</si>
  <si>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</si>
  <si>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</si>
  <si>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</si>
  <si>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</si>
  <si>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39</t>
  </si>
  <si>
    <t>XI        Rendkívüli ráfordítások</t>
  </si>
  <si>
    <t>D)        RENDKÍVÜLI EREDMÉNY(=X-XI) (40=38-39)</t>
  </si>
  <si>
    <t>E)        MÉRLEG SZERINTI EREDMÉNY (=±C±D) (41=±35±40)</t>
  </si>
  <si>
    <t>2015. év</t>
  </si>
  <si>
    <t>14. számú melléklet</t>
  </si>
  <si>
    <t xml:space="preserve">Az önkormányzat részesedésének bemutatása a gazdasági társaságokban </t>
  </si>
  <si>
    <t>a 2011. évi CXCV. törvény - ÁHT - 91.§. (2).  bekezdése d. pont alapján</t>
  </si>
  <si>
    <t>Ezer Ft</t>
  </si>
  <si>
    <t>Részesedés összege</t>
  </si>
  <si>
    <t>Tulajdoni részarány</t>
  </si>
  <si>
    <t>Kötelezettség</t>
  </si>
  <si>
    <t>A</t>
  </si>
  <si>
    <t>B</t>
  </si>
  <si>
    <t>C</t>
  </si>
  <si>
    <t>D</t>
  </si>
  <si>
    <t>Összesen:</t>
  </si>
  <si>
    <t xml:space="preserve">15. melléklet </t>
  </si>
  <si>
    <t>BÁCSVÍZ Zrt.</t>
  </si>
  <si>
    <t xml:space="preserve">                                                  a  2011. évi CXCV.törvény 24.§(4) bekezdés c, pontja alapján</t>
  </si>
  <si>
    <t>Sor sz.</t>
  </si>
  <si>
    <t>Bevételi jogcím</t>
  </si>
  <si>
    <t>Kedvezmény nélkül elérhető bevétel</t>
  </si>
  <si>
    <t>Kedvezmények összege</t>
  </si>
  <si>
    <t>Adómentesség, adóelengedés</t>
  </si>
  <si>
    <t>Adókedvezmény</t>
  </si>
  <si>
    <t>Egyéb</t>
  </si>
  <si>
    <t>1.</t>
  </si>
  <si>
    <t>2.</t>
  </si>
  <si>
    <t>3.</t>
  </si>
  <si>
    <t>4.</t>
  </si>
  <si>
    <t>5.</t>
  </si>
  <si>
    <t xml:space="preserve">Ebből: </t>
  </si>
  <si>
    <t>6.</t>
  </si>
  <si>
    <t xml:space="preserve">16. melléklet </t>
  </si>
  <si>
    <t>Az önkormányzat 2015. évi közvetett támogatásainak alakulása</t>
  </si>
  <si>
    <t>15. számú melléklet</t>
  </si>
  <si>
    <t>16. számú melléklet</t>
  </si>
  <si>
    <t>Cibakháza Nagyközség Önkormányzatának 2015. évi eredmény kimutatása</t>
  </si>
  <si>
    <t xml:space="preserve">Cibakháza Nagyközség Önkormányzat  részesedésének bemutatása a gazdasági társaságokban </t>
  </si>
  <si>
    <t>Cibakháza Nagyközség Önkormányzat 2015. évi közvetett támogatásainak alakulása</t>
  </si>
  <si>
    <t>a                              . számú zárszámadás rendelethez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</si>
  <si>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</si>
  <si>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</si>
  <si>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</si>
  <si>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</si>
  <si>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</si>
  <si>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</si>
  <si>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</si>
  <si>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</si>
  <si>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</si>
  <si>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</si>
  <si>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</si>
  <si>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</si>
  <si>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Termőföld bérbeadás</t>
  </si>
  <si>
    <t>Talajterhelési díj</t>
  </si>
  <si>
    <t>Gépjárműadóból biztosított kedvezmény, mentesség</t>
  </si>
  <si>
    <t>Helyiségek hasznosítása utáni kedvezmény, menteség</t>
  </si>
  <si>
    <t>Eszközök hasznosítása utáni kedvezmény, menteség</t>
  </si>
  <si>
    <t>Késedelmi pótlék</t>
  </si>
  <si>
    <t>egyéb bevételek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</si>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</sst>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#,##0_ ;[Red]\-#,##0\ "/>
    <numFmt numFmtId="168" formatCode="#,###"/>
  </numFmts>
  <fonts count="4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3"/>
      <name val="Arial"/>
      <family val="2"/>
      <charset val="238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19" fillId="0" borderId="0"/>
  </cellStyleXfs>
  <cellXfs count="534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vertical="center"/>
    </xf>
    <xf numFmtId="165" fontId="5" fillId="2" borderId="4" xfId="1" applyNumberFormat="1" applyFont="1" applyFill="1" applyBorder="1" applyAlignment="1">
      <alignment vertical="center"/>
    </xf>
    <xf numFmtId="165" fontId="5" fillId="0" borderId="4" xfId="1" applyNumberFormat="1" applyFont="1" applyBorder="1" applyAlignment="1">
      <alignment horizontal="left" vertical="center"/>
    </xf>
    <xf numFmtId="165" fontId="5" fillId="2" borderId="4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165" fontId="5" fillId="0" borderId="4" xfId="1" applyNumberFormat="1" applyFont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5" fontId="5" fillId="3" borderId="4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4" fillId="3" borderId="4" xfId="1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0" borderId="3" xfId="1" applyNumberFormat="1" applyFont="1" applyBorder="1" applyAlignment="1">
      <alignment vertical="center"/>
    </xf>
    <xf numFmtId="165" fontId="5" fillId="3" borderId="11" xfId="1" applyNumberFormat="1" applyFont="1" applyFill="1" applyBorder="1" applyAlignment="1">
      <alignment vertical="center"/>
    </xf>
    <xf numFmtId="165" fontId="4" fillId="3" borderId="11" xfId="1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165" fontId="5" fillId="2" borderId="8" xfId="1" applyNumberFormat="1" applyFont="1" applyFill="1" applyBorder="1" applyAlignment="1">
      <alignment vertical="center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textRotation="90"/>
    </xf>
    <xf numFmtId="0" fontId="0" fillId="0" borderId="4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Font="1" applyBorder="1"/>
    <xf numFmtId="0" fontId="0" fillId="2" borderId="4" xfId="0" applyFont="1" applyFill="1" applyBorder="1"/>
    <xf numFmtId="0" fontId="0" fillId="0" borderId="0" xfId="0" applyFont="1"/>
    <xf numFmtId="165" fontId="0" fillId="0" borderId="4" xfId="1" applyNumberFormat="1" applyFont="1" applyBorder="1"/>
    <xf numFmtId="165" fontId="0" fillId="2" borderId="4" xfId="1" applyNumberFormat="1" applyFont="1" applyFill="1" applyBorder="1"/>
    <xf numFmtId="165" fontId="3" fillId="0" borderId="16" xfId="0" applyNumberFormat="1" applyFont="1" applyBorder="1"/>
    <xf numFmtId="165" fontId="3" fillId="2" borderId="16" xfId="0" applyNumberFormat="1" applyFont="1" applyFill="1" applyBorder="1"/>
    <xf numFmtId="165" fontId="3" fillId="0" borderId="17" xfId="0" applyNumberFormat="1" applyFont="1" applyBorder="1"/>
    <xf numFmtId="165" fontId="3" fillId="0" borderId="18" xfId="0" applyNumberFormat="1" applyFont="1" applyBorder="1"/>
    <xf numFmtId="0" fontId="5" fillId="0" borderId="3" xfId="0" applyFont="1" applyBorder="1" applyAlignment="1">
      <alignment vertical="center" wrapText="1"/>
    </xf>
    <xf numFmtId="165" fontId="3" fillId="2" borderId="15" xfId="0" applyNumberFormat="1" applyFont="1" applyFill="1" applyBorder="1"/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4" borderId="8" xfId="1" applyNumberFormat="1" applyFont="1" applyFill="1" applyBorder="1" applyAlignment="1">
      <alignment vertical="center"/>
    </xf>
    <xf numFmtId="165" fontId="5" fillId="4" borderId="5" xfId="1" applyNumberFormat="1" applyFont="1" applyFill="1" applyBorder="1" applyAlignment="1">
      <alignment vertical="center"/>
    </xf>
    <xf numFmtId="165" fontId="3" fillId="2" borderId="17" xfId="0" applyNumberFormat="1" applyFont="1" applyFill="1" applyBorder="1"/>
    <xf numFmtId="0" fontId="5" fillId="0" borderId="5" xfId="0" applyFont="1" applyBorder="1" applyAlignment="1">
      <alignment vertical="center"/>
    </xf>
    <xf numFmtId="165" fontId="5" fillId="0" borderId="5" xfId="1" applyNumberFormat="1" applyFont="1" applyBorder="1" applyAlignment="1">
      <alignment vertical="center"/>
    </xf>
    <xf numFmtId="165" fontId="5" fillId="3" borderId="5" xfId="1" applyNumberFormat="1" applyFont="1" applyFill="1" applyBorder="1" applyAlignment="1">
      <alignment vertical="center"/>
    </xf>
    <xf numFmtId="0" fontId="2" fillId="0" borderId="0" xfId="0" applyFont="1"/>
    <xf numFmtId="0" fontId="2" fillId="0" borderId="4" xfId="0" applyFont="1" applyBorder="1"/>
    <xf numFmtId="0" fontId="0" fillId="0" borderId="4" xfId="0" applyFill="1" applyBorder="1"/>
    <xf numFmtId="165" fontId="2" fillId="0" borderId="4" xfId="1" applyNumberFormat="1" applyFont="1" applyBorder="1"/>
    <xf numFmtId="165" fontId="2" fillId="2" borderId="4" xfId="1" applyNumberFormat="1" applyFont="1" applyFill="1" applyBorder="1"/>
    <xf numFmtId="165" fontId="0" fillId="3" borderId="4" xfId="1" applyNumberFormat="1" applyFont="1" applyFill="1" applyBorder="1"/>
    <xf numFmtId="165" fontId="5" fillId="0" borderId="5" xfId="1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165" fontId="0" fillId="0" borderId="0" xfId="0" applyNumberFormat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textRotation="90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14" xfId="1" applyNumberFormat="1" applyFont="1" applyBorder="1" applyAlignment="1">
      <alignment horizontal="center" vertical="center" wrapText="1"/>
    </xf>
    <xf numFmtId="165" fontId="4" fillId="0" borderId="8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5" fillId="2" borderId="31" xfId="1" applyNumberFormat="1" applyFont="1" applyFill="1" applyBorder="1" applyAlignment="1">
      <alignment vertical="center"/>
    </xf>
    <xf numFmtId="165" fontId="3" fillId="0" borderId="21" xfId="0" applyNumberFormat="1" applyFont="1" applyBorder="1"/>
    <xf numFmtId="165" fontId="5" fillId="2" borderId="1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25" xfId="0" applyNumberFormat="1" applyFont="1" applyBorder="1"/>
    <xf numFmtId="165" fontId="4" fillId="0" borderId="31" xfId="1" applyNumberFormat="1" applyFont="1" applyBorder="1" applyAlignment="1">
      <alignment horizontal="center" vertical="center" wrapText="1"/>
    </xf>
    <xf numFmtId="165" fontId="3" fillId="0" borderId="15" xfId="0" applyNumberFormat="1" applyFont="1" applyBorder="1"/>
    <xf numFmtId="165" fontId="4" fillId="0" borderId="11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 wrapText="1"/>
    </xf>
    <xf numFmtId="10" fontId="5" fillId="0" borderId="4" xfId="9" applyNumberFormat="1" applyFont="1" applyFill="1" applyBorder="1" applyAlignment="1">
      <alignment vertical="center"/>
    </xf>
    <xf numFmtId="10" fontId="3" fillId="0" borderId="16" xfId="9" applyNumberFormat="1" applyFont="1" applyBorder="1"/>
    <xf numFmtId="165" fontId="3" fillId="0" borderId="16" xfId="0" applyNumberFormat="1" applyFont="1" applyFill="1" applyBorder="1"/>
    <xf numFmtId="10" fontId="3" fillId="0" borderId="16" xfId="9" applyNumberFormat="1" applyFont="1" applyFill="1" applyBorder="1"/>
    <xf numFmtId="10" fontId="5" fillId="0" borderId="1" xfId="9" applyNumberFormat="1" applyFont="1" applyFill="1" applyBorder="1" applyAlignment="1">
      <alignment vertical="center"/>
    </xf>
    <xf numFmtId="10" fontId="5" fillId="3" borderId="11" xfId="9" applyNumberFormat="1" applyFont="1" applyFill="1" applyBorder="1" applyAlignment="1">
      <alignment vertical="center"/>
    </xf>
    <xf numFmtId="10" fontId="5" fillId="0" borderId="3" xfId="9" applyNumberFormat="1" applyFont="1" applyFill="1" applyBorder="1" applyAlignment="1">
      <alignment vertical="center"/>
    </xf>
    <xf numFmtId="10" fontId="5" fillId="4" borderId="5" xfId="9" applyNumberFormat="1" applyFont="1" applyFill="1" applyBorder="1" applyAlignment="1">
      <alignment vertical="center"/>
    </xf>
    <xf numFmtId="10" fontId="0" fillId="0" borderId="0" xfId="9" applyNumberFormat="1" applyFont="1"/>
    <xf numFmtId="10" fontId="5" fillId="3" borderId="4" xfId="9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5" fontId="4" fillId="0" borderId="13" xfId="1" applyNumberFormat="1" applyFont="1" applyBorder="1" applyAlignment="1">
      <alignment horizontal="center" vertical="center" wrapText="1"/>
    </xf>
    <xf numFmtId="165" fontId="5" fillId="0" borderId="13" xfId="1" applyNumberFormat="1" applyFont="1" applyBorder="1" applyAlignment="1">
      <alignment vertical="center"/>
    </xf>
    <xf numFmtId="10" fontId="5" fillId="0" borderId="11" xfId="9" applyNumberFormat="1" applyFont="1" applyBorder="1" applyAlignment="1">
      <alignment vertical="center"/>
    </xf>
    <xf numFmtId="165" fontId="5" fillId="2" borderId="13" xfId="1" applyNumberFormat="1" applyFont="1" applyFill="1" applyBorder="1" applyAlignment="1">
      <alignment vertical="center"/>
    </xf>
    <xf numFmtId="10" fontId="5" fillId="0" borderId="11" xfId="9" applyNumberFormat="1" applyFont="1" applyFill="1" applyBorder="1" applyAlignment="1">
      <alignment vertical="center"/>
    </xf>
    <xf numFmtId="10" fontId="5" fillId="2" borderId="11" xfId="9" applyNumberFormat="1" applyFont="1" applyFill="1" applyBorder="1" applyAlignment="1">
      <alignment vertical="center"/>
    </xf>
    <xf numFmtId="165" fontId="5" fillId="3" borderId="3" xfId="1" applyNumberFormat="1" applyFont="1" applyFill="1" applyBorder="1" applyAlignment="1">
      <alignment vertical="center"/>
    </xf>
    <xf numFmtId="165" fontId="5" fillId="2" borderId="11" xfId="1" applyNumberFormat="1" applyFont="1" applyFill="1" applyBorder="1" applyAlignment="1">
      <alignment vertical="center"/>
    </xf>
    <xf numFmtId="165" fontId="5" fillId="3" borderId="13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165" fontId="5" fillId="2" borderId="35" xfId="1" applyNumberFormat="1" applyFont="1" applyFill="1" applyBorder="1" applyAlignment="1">
      <alignment vertical="center"/>
    </xf>
    <xf numFmtId="10" fontId="5" fillId="2" borderId="14" xfId="9" applyNumberFormat="1" applyFont="1" applyFill="1" applyBorder="1" applyAlignment="1">
      <alignment vertical="center"/>
    </xf>
    <xf numFmtId="10" fontId="5" fillId="0" borderId="14" xfId="9" applyNumberFormat="1" applyFont="1" applyFill="1" applyBorder="1" applyAlignment="1">
      <alignment vertical="center"/>
    </xf>
    <xf numFmtId="10" fontId="5" fillId="3" borderId="14" xfId="9" applyNumberFormat="1" applyFont="1" applyFill="1" applyBorder="1" applyAlignment="1">
      <alignment vertical="center"/>
    </xf>
    <xf numFmtId="10" fontId="5" fillId="0" borderId="14" xfId="9" applyNumberFormat="1" applyFont="1" applyBorder="1" applyAlignment="1">
      <alignment vertical="center"/>
    </xf>
    <xf numFmtId="165" fontId="5" fillId="0" borderId="35" xfId="1" applyNumberFormat="1" applyFont="1" applyFill="1" applyBorder="1" applyAlignment="1">
      <alignment vertical="center"/>
    </xf>
    <xf numFmtId="10" fontId="3" fillId="0" borderId="17" xfId="9" applyNumberFormat="1" applyFont="1" applyBorder="1"/>
    <xf numFmtId="10" fontId="3" fillId="0" borderId="17" xfId="9" applyNumberFormat="1" applyFont="1" applyFill="1" applyBorder="1"/>
    <xf numFmtId="10" fontId="5" fillId="0" borderId="17" xfId="9" applyNumberFormat="1" applyFont="1" applyBorder="1" applyAlignment="1">
      <alignment vertical="center"/>
    </xf>
    <xf numFmtId="10" fontId="5" fillId="0" borderId="17" xfId="9" applyNumberFormat="1" applyFont="1" applyFill="1" applyBorder="1" applyAlignment="1">
      <alignment vertical="center"/>
    </xf>
    <xf numFmtId="165" fontId="4" fillId="3" borderId="15" xfId="1" applyNumberFormat="1" applyFont="1" applyFill="1" applyBorder="1" applyAlignment="1">
      <alignment vertical="center"/>
    </xf>
    <xf numFmtId="165" fontId="4" fillId="3" borderId="16" xfId="1" applyNumberFormat="1" applyFont="1" applyFill="1" applyBorder="1" applyAlignment="1">
      <alignment vertical="center"/>
    </xf>
    <xf numFmtId="10" fontId="4" fillId="3" borderId="17" xfId="9" applyNumberFormat="1" applyFont="1" applyFill="1" applyBorder="1" applyAlignment="1">
      <alignment vertical="center"/>
    </xf>
    <xf numFmtId="10" fontId="4" fillId="0" borderId="17" xfId="9" applyNumberFormat="1" applyFont="1" applyBorder="1" applyAlignment="1">
      <alignment vertical="center"/>
    </xf>
    <xf numFmtId="10" fontId="4" fillId="0" borderId="17" xfId="9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4" fillId="0" borderId="35" xfId="1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 wrapText="1"/>
    </xf>
    <xf numFmtId="10" fontId="5" fillId="3" borderId="1" xfId="9" applyNumberFormat="1" applyFont="1" applyFill="1" applyBorder="1" applyAlignment="1">
      <alignment vertical="center"/>
    </xf>
    <xf numFmtId="10" fontId="5" fillId="2" borderId="1" xfId="9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0" fontId="5" fillId="2" borderId="31" xfId="9" applyNumberFormat="1" applyFont="1" applyFill="1" applyBorder="1" applyAlignment="1">
      <alignment vertical="center"/>
    </xf>
    <xf numFmtId="10" fontId="5" fillId="3" borderId="25" xfId="9" applyNumberFormat="1" applyFont="1" applyFill="1" applyBorder="1" applyAlignment="1">
      <alignment vertical="center"/>
    </xf>
    <xf numFmtId="10" fontId="5" fillId="2" borderId="17" xfId="9" applyNumberFormat="1" applyFont="1" applyFill="1" applyBorder="1" applyAlignment="1">
      <alignment vertical="center"/>
    </xf>
    <xf numFmtId="165" fontId="3" fillId="3" borderId="16" xfId="0" applyNumberFormat="1" applyFont="1" applyFill="1" applyBorder="1"/>
    <xf numFmtId="10" fontId="5" fillId="3" borderId="16" xfId="9" applyNumberFormat="1" applyFont="1" applyFill="1" applyBorder="1" applyAlignment="1">
      <alignment vertical="center"/>
    </xf>
    <xf numFmtId="165" fontId="3" fillId="0" borderId="38" xfId="0" applyNumberFormat="1" applyFont="1" applyBorder="1"/>
    <xf numFmtId="165" fontId="3" fillId="0" borderId="33" xfId="0" applyNumberFormat="1" applyFont="1" applyBorder="1"/>
    <xf numFmtId="165" fontId="3" fillId="0" borderId="32" xfId="0" applyNumberFormat="1" applyFont="1" applyBorder="1"/>
    <xf numFmtId="10" fontId="3" fillId="0" borderId="32" xfId="9" applyNumberFormat="1" applyFont="1" applyBorder="1"/>
    <xf numFmtId="10" fontId="4" fillId="0" borderId="11" xfId="9" applyNumberFormat="1" applyFont="1" applyBorder="1" applyAlignment="1">
      <alignment horizontal="center" vertical="center" wrapText="1"/>
    </xf>
    <xf numFmtId="10" fontId="4" fillId="0" borderId="11" xfId="9" applyNumberFormat="1" applyFont="1" applyBorder="1" applyAlignment="1">
      <alignment horizontal="right" vertical="center" wrapText="1"/>
    </xf>
    <xf numFmtId="165" fontId="5" fillId="2" borderId="13" xfId="1" applyNumberFormat="1" applyFont="1" applyFill="1" applyBorder="1" applyAlignment="1">
      <alignment horizontal="left" vertical="center"/>
    </xf>
    <xf numFmtId="165" fontId="5" fillId="0" borderId="11" xfId="1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10" fontId="4" fillId="0" borderId="1" xfId="9" applyNumberFormat="1" applyFont="1" applyBorder="1" applyAlignment="1">
      <alignment horizontal="right" vertical="center" wrapText="1"/>
    </xf>
    <xf numFmtId="165" fontId="4" fillId="0" borderId="1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10" fontId="5" fillId="3" borderId="39" xfId="9" applyNumberFormat="1" applyFont="1" applyFill="1" applyBorder="1" applyAlignment="1">
      <alignment vertical="center"/>
    </xf>
    <xf numFmtId="165" fontId="3" fillId="2" borderId="4" xfId="0" applyNumberFormat="1" applyFont="1" applyFill="1" applyBorder="1"/>
    <xf numFmtId="10" fontId="4" fillId="0" borderId="1" xfId="9" applyNumberFormat="1" applyFont="1" applyBorder="1" applyAlignment="1">
      <alignment horizontal="center" vertical="center" wrapText="1"/>
    </xf>
    <xf numFmtId="165" fontId="3" fillId="2" borderId="33" xfId="0" applyNumberFormat="1" applyFont="1" applyFill="1" applyBorder="1"/>
    <xf numFmtId="165" fontId="3" fillId="2" borderId="32" xfId="0" applyNumberFormat="1" applyFont="1" applyFill="1" applyBorder="1"/>
    <xf numFmtId="165" fontId="3" fillId="2" borderId="3" xfId="0" applyNumberFormat="1" applyFont="1" applyFill="1" applyBorder="1"/>
    <xf numFmtId="165" fontId="4" fillId="2" borderId="11" xfId="1" applyNumberFormat="1" applyFont="1" applyFill="1" applyBorder="1" applyAlignment="1">
      <alignment vertical="center"/>
    </xf>
    <xf numFmtId="10" fontId="4" fillId="0" borderId="11" xfId="9" applyNumberFormat="1" applyFont="1" applyFill="1" applyBorder="1" applyAlignment="1">
      <alignment vertical="center"/>
    </xf>
    <xf numFmtId="0" fontId="3" fillId="2" borderId="21" xfId="0" applyFont="1" applyFill="1" applyBorder="1"/>
    <xf numFmtId="165" fontId="3" fillId="0" borderId="41" xfId="0" applyNumberFormat="1" applyFont="1" applyBorder="1"/>
    <xf numFmtId="0" fontId="3" fillId="0" borderId="22" xfId="0" applyFont="1" applyBorder="1"/>
    <xf numFmtId="165" fontId="5" fillId="3" borderId="4" xfId="1" applyNumberFormat="1" applyFont="1" applyFill="1" applyBorder="1"/>
    <xf numFmtId="0" fontId="0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2" fillId="0" borderId="1" xfId="0" applyFont="1" applyFill="1" applyBorder="1"/>
    <xf numFmtId="165" fontId="0" fillId="0" borderId="13" xfId="1" applyNumberFormat="1" applyFont="1" applyBorder="1"/>
    <xf numFmtId="165" fontId="2" fillId="2" borderId="13" xfId="1" applyNumberFormat="1" applyFont="1" applyFill="1" applyBorder="1"/>
    <xf numFmtId="165" fontId="0" fillId="2" borderId="13" xfId="1" applyNumberFormat="1" applyFont="1" applyFill="1" applyBorder="1"/>
    <xf numFmtId="165" fontId="0" fillId="2" borderId="11" xfId="1" applyNumberFormat="1" applyFont="1" applyFill="1" applyBorder="1"/>
    <xf numFmtId="165" fontId="2" fillId="2" borderId="11" xfId="1" applyNumberFormat="1" applyFont="1" applyFill="1" applyBorder="1"/>
    <xf numFmtId="165" fontId="2" fillId="0" borderId="13" xfId="1" applyNumberFormat="1" applyFont="1" applyBorder="1"/>
    <xf numFmtId="10" fontId="0" fillId="0" borderId="11" xfId="9" applyNumberFormat="1" applyFont="1" applyBorder="1"/>
    <xf numFmtId="10" fontId="0" fillId="2" borderId="11" xfId="9" applyNumberFormat="1" applyFont="1" applyFill="1" applyBorder="1"/>
    <xf numFmtId="10" fontId="2" fillId="2" borderId="11" xfId="9" applyNumberFormat="1" applyFont="1" applyFill="1" applyBorder="1"/>
    <xf numFmtId="10" fontId="0" fillId="3" borderId="11" xfId="9" applyNumberFormat="1" applyFont="1" applyFill="1" applyBorder="1"/>
    <xf numFmtId="165" fontId="3" fillId="2" borderId="38" xfId="0" applyNumberFormat="1" applyFont="1" applyFill="1" applyBorder="1"/>
    <xf numFmtId="165" fontId="3" fillId="3" borderId="33" xfId="0" applyNumberFormat="1" applyFont="1" applyFill="1" applyBorder="1"/>
    <xf numFmtId="10" fontId="3" fillId="3" borderId="32" xfId="9" applyNumberFormat="1" applyFont="1" applyFill="1" applyBorder="1"/>
    <xf numFmtId="10" fontId="5" fillId="0" borderId="32" xfId="9" applyNumberFormat="1" applyFont="1" applyBorder="1" applyAlignment="1">
      <alignment vertical="center"/>
    </xf>
    <xf numFmtId="165" fontId="5" fillId="0" borderId="8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0" fontId="5" fillId="0" borderId="32" xfId="9" applyNumberFormat="1" applyFont="1" applyFill="1" applyBorder="1" applyAlignment="1">
      <alignment vertical="center"/>
    </xf>
    <xf numFmtId="165" fontId="0" fillId="3" borderId="13" xfId="1" applyNumberFormat="1" applyFont="1" applyFill="1" applyBorder="1"/>
    <xf numFmtId="0" fontId="3" fillId="0" borderId="41" xfId="0" applyFont="1" applyBorder="1"/>
    <xf numFmtId="0" fontId="3" fillId="2" borderId="22" xfId="0" applyFont="1" applyFill="1" applyBorder="1"/>
    <xf numFmtId="0" fontId="0" fillId="0" borderId="1" xfId="0" applyFont="1" applyBorder="1" applyAlignment="1"/>
    <xf numFmtId="10" fontId="0" fillId="0" borderId="32" xfId="9" applyNumberFormat="1" applyFont="1" applyBorder="1"/>
    <xf numFmtId="0" fontId="0" fillId="3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3" xfId="0" applyFont="1" applyFill="1" applyBorder="1"/>
    <xf numFmtId="0" fontId="0" fillId="2" borderId="11" xfId="0" applyFont="1" applyFill="1" applyBorder="1"/>
    <xf numFmtId="165" fontId="3" fillId="3" borderId="33" xfId="0" applyNumberFormat="1" applyFont="1" applyFill="1" applyBorder="1" applyAlignment="1">
      <alignment horizontal="right"/>
    </xf>
    <xf numFmtId="0" fontId="0" fillId="0" borderId="3" xfId="0" applyFont="1" applyBorder="1" applyAlignment="1"/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65" fontId="4" fillId="3" borderId="13" xfId="1" applyNumberFormat="1" applyFont="1" applyFill="1" applyBorder="1" applyAlignment="1">
      <alignment vertical="center"/>
    </xf>
    <xf numFmtId="165" fontId="4" fillId="3" borderId="4" xfId="1" applyNumberFormat="1" applyFont="1" applyFill="1" applyBorder="1" applyAlignment="1">
      <alignment horizontal="center" vertical="center" wrapText="1"/>
    </xf>
    <xf numFmtId="10" fontId="4" fillId="3" borderId="1" xfId="9" applyNumberFormat="1" applyFont="1" applyFill="1" applyBorder="1" applyAlignment="1">
      <alignment horizontal="center" vertical="center" wrapText="1"/>
    </xf>
    <xf numFmtId="10" fontId="4" fillId="3" borderId="11" xfId="9" applyNumberFormat="1" applyFont="1" applyFill="1" applyBorder="1" applyAlignment="1">
      <alignment horizontal="center" vertical="center" wrapText="1"/>
    </xf>
    <xf numFmtId="166" fontId="4" fillId="3" borderId="11" xfId="9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0" fontId="5" fillId="3" borderId="1" xfId="9" applyNumberFormat="1" applyFont="1" applyFill="1" applyBorder="1" applyAlignment="1">
      <alignment horizontal="center" vertical="center" wrapText="1"/>
    </xf>
    <xf numFmtId="10" fontId="5" fillId="3" borderId="11" xfId="9" applyNumberFormat="1" applyFont="1" applyFill="1" applyBorder="1" applyAlignment="1">
      <alignment horizontal="center" vertical="center" wrapText="1"/>
    </xf>
    <xf numFmtId="166" fontId="5" fillId="3" borderId="11" xfId="9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5" fontId="4" fillId="3" borderId="13" xfId="1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65" fontId="4" fillId="3" borderId="1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65" fontId="5" fillId="3" borderId="4" xfId="1" applyNumberFormat="1" applyFont="1" applyFill="1" applyBorder="1" applyAlignment="1">
      <alignment horizontal="left" vertical="center"/>
    </xf>
    <xf numFmtId="165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 wrapText="1"/>
    </xf>
    <xf numFmtId="165" fontId="5" fillId="3" borderId="1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165" fontId="4" fillId="3" borderId="38" xfId="1" applyNumberFormat="1" applyFont="1" applyFill="1" applyBorder="1" applyAlignment="1">
      <alignment horizontal="center" vertical="center" wrapText="1"/>
    </xf>
    <xf numFmtId="165" fontId="4" fillId="3" borderId="33" xfId="1" applyNumberFormat="1" applyFont="1" applyFill="1" applyBorder="1" applyAlignment="1">
      <alignment horizontal="center" vertical="center" wrapText="1"/>
    </xf>
    <xf numFmtId="10" fontId="4" fillId="3" borderId="32" xfId="9" applyNumberFormat="1" applyFont="1" applyFill="1" applyBorder="1" applyAlignment="1">
      <alignment horizontal="center" vertical="center" wrapText="1"/>
    </xf>
    <xf numFmtId="10" fontId="4" fillId="3" borderId="39" xfId="9" applyNumberFormat="1" applyFont="1" applyFill="1" applyBorder="1" applyAlignment="1">
      <alignment horizontal="center" vertical="center" wrapText="1"/>
    </xf>
    <xf numFmtId="165" fontId="4" fillId="3" borderId="39" xfId="1" applyNumberFormat="1" applyFont="1" applyFill="1" applyBorder="1" applyAlignment="1">
      <alignment horizontal="center" vertical="center" wrapText="1"/>
    </xf>
    <xf numFmtId="165" fontId="4" fillId="3" borderId="10" xfId="1" applyNumberFormat="1" applyFont="1" applyFill="1" applyBorder="1" applyAlignment="1">
      <alignment horizontal="center" vertical="center" wrapText="1"/>
    </xf>
    <xf numFmtId="165" fontId="4" fillId="3" borderId="7" xfId="1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5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0" fontId="4" fillId="3" borderId="7" xfId="9" applyNumberFormat="1" applyFont="1" applyFill="1" applyBorder="1" applyAlignment="1">
      <alignment horizontal="center" vertical="center" wrapText="1"/>
    </xf>
    <xf numFmtId="10" fontId="4" fillId="3" borderId="40" xfId="9" applyNumberFormat="1" applyFont="1" applyFill="1" applyBorder="1" applyAlignment="1">
      <alignment horizontal="center" vertical="center" wrapText="1"/>
    </xf>
    <xf numFmtId="165" fontId="4" fillId="3" borderId="35" xfId="1" applyNumberFormat="1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0" fontId="4" fillId="3" borderId="31" xfId="9" applyNumberFormat="1" applyFont="1" applyFill="1" applyBorder="1" applyAlignment="1">
      <alignment horizontal="center" vertical="center" wrapText="1"/>
    </xf>
    <xf numFmtId="165" fontId="4" fillId="3" borderId="29" xfId="1" applyNumberFormat="1" applyFont="1" applyFill="1" applyBorder="1" applyAlignment="1">
      <alignment horizontal="center" vertical="center" wrapText="1"/>
    </xf>
    <xf numFmtId="10" fontId="4" fillId="3" borderId="30" xfId="9" applyNumberFormat="1" applyFont="1" applyFill="1" applyBorder="1" applyAlignment="1">
      <alignment horizontal="center" vertical="center" wrapText="1"/>
    </xf>
    <xf numFmtId="165" fontId="4" fillId="3" borderId="14" xfId="1" applyNumberFormat="1" applyFont="1" applyFill="1" applyBorder="1" applyAlignment="1">
      <alignment horizontal="center" vertical="center" wrapText="1"/>
    </xf>
    <xf numFmtId="10" fontId="4" fillId="3" borderId="10" xfId="9" applyNumberFormat="1" applyFont="1" applyFill="1" applyBorder="1" applyAlignment="1">
      <alignment horizontal="center" vertical="center" wrapText="1"/>
    </xf>
    <xf numFmtId="165" fontId="4" fillId="3" borderId="40" xfId="1" applyNumberFormat="1" applyFont="1" applyFill="1" applyBorder="1" applyAlignment="1">
      <alignment horizontal="center" vertical="center" wrapText="1"/>
    </xf>
    <xf numFmtId="10" fontId="4" fillId="3" borderId="14" xfId="9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vertical="center"/>
    </xf>
    <xf numFmtId="0" fontId="7" fillId="3" borderId="42" xfId="0" applyFont="1" applyFill="1" applyBorder="1" applyAlignment="1">
      <alignment horizontal="center" vertical="center"/>
    </xf>
    <xf numFmtId="165" fontId="4" fillId="3" borderId="42" xfId="1" applyNumberFormat="1" applyFont="1" applyFill="1" applyBorder="1" applyAlignment="1">
      <alignment horizontal="center" vertical="center" wrapText="1"/>
    </xf>
    <xf numFmtId="10" fontId="4" fillId="3" borderId="42" xfId="9" applyNumberFormat="1" applyFont="1" applyFill="1" applyBorder="1" applyAlignment="1">
      <alignment horizontal="center" vertical="center" wrapText="1"/>
    </xf>
    <xf numFmtId="165" fontId="4" fillId="3" borderId="31" xfId="1" applyNumberFormat="1" applyFont="1" applyFill="1" applyBorder="1" applyAlignment="1">
      <alignment horizontal="center" vertical="center" wrapText="1"/>
    </xf>
    <xf numFmtId="10" fontId="4" fillId="3" borderId="44" xfId="9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left" vertical="center"/>
    </xf>
    <xf numFmtId="165" fontId="5" fillId="3" borderId="11" xfId="1" applyNumberFormat="1" applyFont="1" applyFill="1" applyBorder="1" applyAlignment="1">
      <alignment horizontal="left" vertical="center"/>
    </xf>
    <xf numFmtId="165" fontId="4" fillId="3" borderId="38" xfId="1" applyNumberFormat="1" applyFont="1" applyFill="1" applyBorder="1" applyAlignment="1">
      <alignment vertical="center"/>
    </xf>
    <xf numFmtId="165" fontId="4" fillId="3" borderId="33" xfId="1" applyNumberFormat="1" applyFont="1" applyFill="1" applyBorder="1" applyAlignment="1">
      <alignment vertical="center"/>
    </xf>
    <xf numFmtId="165" fontId="4" fillId="3" borderId="32" xfId="1" applyNumberFormat="1" applyFont="1" applyFill="1" applyBorder="1" applyAlignment="1">
      <alignment vertical="center"/>
    </xf>
    <xf numFmtId="0" fontId="5" fillId="0" borderId="0" xfId="10" applyFont="1"/>
    <xf numFmtId="0" fontId="5" fillId="3" borderId="4" xfId="10" applyFont="1" applyFill="1" applyBorder="1" applyAlignment="1">
      <alignment horizontal="center" vertical="top" wrapText="1"/>
    </xf>
    <xf numFmtId="0" fontId="5" fillId="0" borderId="4" xfId="10" applyFont="1" applyBorder="1" applyAlignment="1">
      <alignment horizontal="center" vertical="top" wrapText="1"/>
    </xf>
    <xf numFmtId="0" fontId="5" fillId="0" borderId="4" xfId="10" applyFont="1" applyBorder="1" applyAlignment="1">
      <alignment horizontal="left" vertical="top" wrapText="1"/>
    </xf>
    <xf numFmtId="3" fontId="5" fillId="0" borderId="4" xfId="10" applyNumberFormat="1" applyFont="1" applyBorder="1" applyAlignment="1">
      <alignment horizontal="right" vertical="top" wrapText="1"/>
    </xf>
    <xf numFmtId="0" fontId="4" fillId="0" borderId="4" xfId="10" applyFont="1" applyBorder="1" applyAlignment="1">
      <alignment horizontal="center" vertical="top" wrapText="1"/>
    </xf>
    <xf numFmtId="0" fontId="4" fillId="0" borderId="4" xfId="10" applyFont="1" applyBorder="1" applyAlignment="1">
      <alignment horizontal="left" vertical="top" wrapText="1"/>
    </xf>
    <xf numFmtId="3" fontId="4" fillId="0" borderId="4" xfId="10" applyNumberFormat="1" applyFont="1" applyBorder="1" applyAlignment="1">
      <alignment horizontal="right" vertical="top" wrapText="1"/>
    </xf>
    <xf numFmtId="0" fontId="5" fillId="0" borderId="4" xfId="10" applyFont="1" applyBorder="1"/>
    <xf numFmtId="0" fontId="5" fillId="3" borderId="0" xfId="10" applyFont="1" applyFill="1"/>
    <xf numFmtId="0" fontId="5" fillId="3" borderId="4" xfId="10" applyFont="1" applyFill="1" applyBorder="1" applyAlignment="1">
      <alignment horizontal="left" vertical="top" wrapText="1"/>
    </xf>
    <xf numFmtId="3" fontId="5" fillId="3" borderId="4" xfId="10" applyNumberFormat="1" applyFont="1" applyFill="1" applyBorder="1" applyAlignment="1">
      <alignment horizontal="right" vertical="top" wrapText="1"/>
    </xf>
    <xf numFmtId="0" fontId="4" fillId="3" borderId="4" xfId="10" applyFont="1" applyFill="1" applyBorder="1" applyAlignment="1">
      <alignment horizontal="center" vertical="top" wrapText="1"/>
    </xf>
    <xf numFmtId="0" fontId="4" fillId="3" borderId="4" xfId="10" applyFont="1" applyFill="1" applyBorder="1" applyAlignment="1">
      <alignment horizontal="left" vertical="top" wrapText="1"/>
    </xf>
    <xf numFmtId="3" fontId="4" fillId="3" borderId="4" xfId="10" applyNumberFormat="1" applyFont="1" applyFill="1" applyBorder="1" applyAlignment="1">
      <alignment horizontal="right" vertical="top" wrapText="1"/>
    </xf>
    <xf numFmtId="0" fontId="4" fillId="0" borderId="0" xfId="10" applyFont="1"/>
    <xf numFmtId="0" fontId="6" fillId="0" borderId="0" xfId="10" applyFont="1"/>
    <xf numFmtId="165" fontId="5" fillId="0" borderId="13" xfId="1" applyNumberFormat="1" applyFont="1" applyBorder="1" applyAlignment="1">
      <alignment horizontal="left" vertical="center"/>
    </xf>
    <xf numFmtId="10" fontId="5" fillId="0" borderId="11" xfId="9" applyNumberFormat="1" applyFont="1" applyBorder="1" applyAlignment="1">
      <alignment horizontal="right" vertical="center"/>
    </xf>
    <xf numFmtId="0" fontId="8" fillId="0" borderId="31" xfId="0" applyFont="1" applyFill="1" applyBorder="1" applyAlignment="1">
      <alignment horizontal="left" vertical="center"/>
    </xf>
    <xf numFmtId="165" fontId="5" fillId="0" borderId="35" xfId="1" applyNumberFormat="1" applyFont="1" applyBorder="1" applyAlignment="1">
      <alignment vertical="center"/>
    </xf>
    <xf numFmtId="10" fontId="5" fillId="0" borderId="31" xfId="9" applyNumberFormat="1" applyFont="1" applyFill="1" applyBorder="1" applyAlignment="1">
      <alignment vertical="center"/>
    </xf>
    <xf numFmtId="165" fontId="3" fillId="0" borderId="42" xfId="0" applyNumberFormat="1" applyFont="1" applyBorder="1"/>
    <xf numFmtId="10" fontId="3" fillId="0" borderId="42" xfId="9" applyNumberFormat="1" applyFont="1" applyBorder="1"/>
    <xf numFmtId="165" fontId="3" fillId="3" borderId="42" xfId="0" applyNumberFormat="1" applyFont="1" applyFill="1" applyBorder="1"/>
    <xf numFmtId="165" fontId="4" fillId="0" borderId="13" xfId="0" applyNumberFormat="1" applyFont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left" vertical="center"/>
    </xf>
    <xf numFmtId="0" fontId="6" fillId="3" borderId="4" xfId="10" applyFont="1" applyFill="1" applyBorder="1" applyAlignment="1">
      <alignment horizontal="center" vertical="top" wrapText="1"/>
    </xf>
    <xf numFmtId="0" fontId="6" fillId="3" borderId="4" xfId="10" applyFont="1" applyFill="1" applyBorder="1"/>
    <xf numFmtId="0" fontId="5" fillId="3" borderId="4" xfId="1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0" fillId="0" borderId="0" xfId="0" applyAlignment="1"/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1" fillId="0" borderId="0" xfId="0" applyFont="1" applyFill="1"/>
    <xf numFmtId="0" fontId="0" fillId="0" borderId="0" xfId="0" applyFill="1"/>
    <xf numFmtId="0" fontId="22" fillId="0" borderId="4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 vertical="top" wrapText="1"/>
    </xf>
    <xf numFmtId="3" fontId="23" fillId="0" borderId="4" xfId="0" applyNumberFormat="1" applyFont="1" applyBorder="1" applyAlignment="1">
      <alignment horizontal="right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left" vertical="top" wrapText="1"/>
    </xf>
    <xf numFmtId="3" fontId="24" fillId="0" borderId="4" xfId="0" applyNumberFormat="1" applyFont="1" applyBorder="1" applyAlignment="1">
      <alignment horizontal="right" vertical="top" wrapText="1"/>
    </xf>
    <xf numFmtId="0" fontId="25" fillId="0" borderId="0" xfId="0" applyNumberFormat="1" applyFont="1" applyBorder="1" applyAlignment="1" applyProtection="1"/>
    <xf numFmtId="0" fontId="25" fillId="0" borderId="0" xfId="0" applyNumberFormat="1" applyFont="1" applyBorder="1" applyAlignment="1" applyProtection="1">
      <alignment horizontal="right"/>
    </xf>
    <xf numFmtId="0" fontId="27" fillId="0" borderId="0" xfId="0" applyNumberFormat="1" applyFont="1" applyBorder="1" applyAlignment="1" applyProtection="1"/>
    <xf numFmtId="0" fontId="27" fillId="0" borderId="0" xfId="0" applyNumberFormat="1" applyFont="1" applyBorder="1" applyAlignment="1" applyProtection="1">
      <alignment vertical="top"/>
    </xf>
    <xf numFmtId="0" fontId="10" fillId="0" borderId="0" xfId="0" applyFont="1"/>
    <xf numFmtId="0" fontId="28" fillId="0" borderId="0" xfId="0" applyFont="1"/>
    <xf numFmtId="0" fontId="29" fillId="0" borderId="4" xfId="0" applyNumberFormat="1" applyFont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Border="1" applyAlignment="1" applyProtection="1">
      <alignment horizontal="center" vertical="center" wrapText="1"/>
    </xf>
    <xf numFmtId="0" fontId="29" fillId="0" borderId="4" xfId="0" applyNumberFormat="1" applyFont="1" applyBorder="1" applyAlignment="1" applyProtection="1">
      <alignment horizontal="right" vertical="center"/>
    </xf>
    <xf numFmtId="0" fontId="29" fillId="0" borderId="4" xfId="0" applyNumberFormat="1" applyFont="1" applyBorder="1" applyAlignment="1" applyProtection="1">
      <alignment vertical="center" wrapText="1"/>
    </xf>
    <xf numFmtId="3" fontId="25" fillId="0" borderId="4" xfId="0" applyNumberFormat="1" applyFont="1" applyBorder="1" applyAlignment="1" applyProtection="1"/>
    <xf numFmtId="3" fontId="25" fillId="0" borderId="0" xfId="0" applyNumberFormat="1" applyFont="1" applyBorder="1" applyAlignment="1" applyProtection="1"/>
    <xf numFmtId="3" fontId="29" fillId="0" borderId="0" xfId="0" applyNumberFormat="1" applyFont="1" applyBorder="1" applyAlignment="1" applyProtection="1"/>
    <xf numFmtId="0" fontId="30" fillId="0" borderId="4" xfId="0" applyNumberFormat="1" applyFont="1" applyBorder="1" applyAlignment="1" applyProtection="1">
      <alignment horizontal="center" vertical="center"/>
    </xf>
    <xf numFmtId="0" fontId="30" fillId="0" borderId="4" xfId="0" applyNumberFormat="1" applyFont="1" applyBorder="1" applyAlignment="1" applyProtection="1">
      <alignment horizontal="center" vertical="center" wrapText="1"/>
    </xf>
    <xf numFmtId="3" fontId="25" fillId="0" borderId="4" xfId="0" applyNumberFormat="1" applyFont="1" applyBorder="1" applyAlignment="1" applyProtection="1">
      <alignment horizontal="center"/>
    </xf>
    <xf numFmtId="0" fontId="31" fillId="0" borderId="4" xfId="0" applyNumberFormat="1" applyFont="1" applyBorder="1" applyAlignment="1" applyProtection="1">
      <alignment vertical="center" wrapText="1"/>
    </xf>
    <xf numFmtId="9" fontId="25" fillId="0" borderId="4" xfId="1" applyNumberFormat="1" applyFont="1" applyBorder="1" applyAlignment="1" applyProtection="1">
      <alignment vertical="center"/>
    </xf>
    <xf numFmtId="3" fontId="25" fillId="0" borderId="4" xfId="0" applyNumberFormat="1" applyFont="1" applyBorder="1" applyAlignment="1" applyProtection="1">
      <alignment vertical="center"/>
    </xf>
    <xf numFmtId="3" fontId="25" fillId="0" borderId="0" xfId="0" applyNumberFormat="1" applyFont="1" applyBorder="1" applyAlignment="1" applyProtection="1">
      <alignment vertical="center"/>
    </xf>
    <xf numFmtId="3" fontId="25" fillId="0" borderId="0" xfId="0" applyNumberFormat="1" applyFont="1" applyFill="1" applyBorder="1" applyAlignment="1" applyProtection="1">
      <alignment vertical="center"/>
    </xf>
    <xf numFmtId="3" fontId="29" fillId="0" borderId="0" xfId="0" applyNumberFormat="1" applyFont="1" applyBorder="1" applyAlignment="1" applyProtection="1">
      <alignment vertical="center"/>
    </xf>
    <xf numFmtId="0" fontId="29" fillId="0" borderId="4" xfId="0" applyNumberFormat="1" applyFont="1" applyFill="1" applyBorder="1" applyAlignment="1" applyProtection="1">
      <alignment horizontal="right" vertical="center"/>
    </xf>
    <xf numFmtId="0" fontId="21" fillId="0" borderId="4" xfId="0" applyFont="1" applyBorder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4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4" xfId="0" applyFont="1" applyBorder="1"/>
    <xf numFmtId="0" fontId="34" fillId="0" borderId="4" xfId="0" applyFont="1" applyBorder="1" applyAlignment="1">
      <alignment horizontal="right" vertical="center"/>
    </xf>
    <xf numFmtId="0" fontId="36" fillId="0" borderId="4" xfId="0" applyFont="1" applyBorder="1" applyAlignment="1">
      <alignment horizontal="right" vertical="center"/>
    </xf>
    <xf numFmtId="167" fontId="37" fillId="0" borderId="4" xfId="0" applyNumberFormat="1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4" xfId="0" applyFont="1" applyBorder="1" applyAlignment="1">
      <alignment horizontal="right"/>
    </xf>
    <xf numFmtId="0" fontId="37" fillId="0" borderId="4" xfId="0" applyFont="1" applyBorder="1" applyAlignment="1">
      <alignment horizontal="right" vertical="center"/>
    </xf>
    <xf numFmtId="0" fontId="34" fillId="0" borderId="4" xfId="0" applyFont="1" applyBorder="1" applyAlignment="1">
      <alignment horizontal="right"/>
    </xf>
    <xf numFmtId="0" fontId="36" fillId="5" borderId="4" xfId="0" applyFont="1" applyFill="1" applyBorder="1" applyAlignment="1">
      <alignment horizontal="right" vertical="center"/>
    </xf>
    <xf numFmtId="0" fontId="39" fillId="6" borderId="4" xfId="0" applyFont="1" applyFill="1" applyBorder="1"/>
    <xf numFmtId="0" fontId="40" fillId="0" borderId="0" xfId="0" applyNumberFormat="1" applyFont="1" applyBorder="1" applyAlignment="1" applyProtection="1">
      <alignment horizontal="right"/>
    </xf>
    <xf numFmtId="0" fontId="6" fillId="3" borderId="4" xfId="10" applyFont="1" applyFill="1" applyBorder="1" applyAlignment="1">
      <alignment horizontal="center"/>
    </xf>
    <xf numFmtId="0" fontId="5" fillId="3" borderId="5" xfId="10" applyFont="1" applyFill="1" applyBorder="1" applyAlignment="1">
      <alignment horizontal="center" vertical="top" wrapText="1"/>
    </xf>
    <xf numFmtId="0" fontId="5" fillId="0" borderId="6" xfId="10" applyFont="1" applyBorder="1" applyAlignment="1">
      <alignment horizontal="center" vertical="top" wrapText="1"/>
    </xf>
    <xf numFmtId="0" fontId="5" fillId="0" borderId="6" xfId="10" applyFont="1" applyBorder="1" applyAlignment="1">
      <alignment horizontal="left" vertical="top" wrapText="1"/>
    </xf>
    <xf numFmtId="3" fontId="5" fillId="0" borderId="6" xfId="10" applyNumberFormat="1" applyFont="1" applyBorder="1" applyAlignment="1">
      <alignment horizontal="right" vertical="top" wrapText="1"/>
    </xf>
    <xf numFmtId="0" fontId="5" fillId="0" borderId="0" xfId="10" applyFont="1" applyBorder="1"/>
    <xf numFmtId="0" fontId="43" fillId="0" borderId="15" xfId="6" applyFont="1" applyFill="1" applyBorder="1" applyAlignment="1" applyProtection="1">
      <alignment horizontal="center" vertical="center" wrapText="1"/>
    </xf>
    <xf numFmtId="0" fontId="44" fillId="0" borderId="19" xfId="6" applyFont="1" applyFill="1" applyBorder="1" applyAlignment="1" applyProtection="1">
      <alignment horizontal="left" vertical="center" wrapText="1" indent="1"/>
    </xf>
    <xf numFmtId="168" fontId="44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8" fontId="44" fillId="0" borderId="47" xfId="6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13" xfId="6" applyFont="1" applyFill="1" applyBorder="1" applyAlignment="1" applyProtection="1">
      <alignment horizontal="left" vertical="center" wrapText="1" indent="1"/>
    </xf>
    <xf numFmtId="168" fontId="4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8" fontId="44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8" fontId="44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13" xfId="6" applyFont="1" applyFill="1" applyBorder="1" applyAlignment="1" applyProtection="1">
      <alignment horizontal="left" vertical="center" wrapText="1" indent="8"/>
    </xf>
    <xf numFmtId="0" fontId="43" fillId="0" borderId="20" xfId="6" applyFont="1" applyFill="1" applyBorder="1" applyAlignment="1" applyProtection="1">
      <alignment vertical="center" wrapText="1"/>
    </xf>
    <xf numFmtId="168" fontId="43" fillId="0" borderId="21" xfId="6" applyNumberFormat="1" applyFont="1" applyFill="1" applyBorder="1" applyAlignment="1" applyProtection="1">
      <alignment vertical="center" wrapText="1"/>
    </xf>
    <xf numFmtId="168" fontId="43" fillId="0" borderId="22" xfId="6" applyNumberFormat="1" applyFont="1" applyFill="1" applyBorder="1" applyAlignment="1" applyProtection="1">
      <alignment vertical="center" wrapText="1"/>
    </xf>
    <xf numFmtId="167" fontId="35" fillId="3" borderId="4" xfId="0" applyNumberFormat="1" applyFont="1" applyFill="1" applyBorder="1" applyAlignment="1">
      <alignment vertical="center"/>
    </xf>
    <xf numFmtId="168" fontId="4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0" applyFont="1" applyBorder="1" applyAlignment="1">
      <alignment horizontal="center"/>
    </xf>
    <xf numFmtId="0" fontId="36" fillId="0" borderId="27" xfId="0" applyFont="1" applyBorder="1" applyAlignment="1">
      <alignment horizontal="right" vertical="center"/>
    </xf>
    <xf numFmtId="0" fontId="34" fillId="0" borderId="42" xfId="0" applyFont="1" applyBorder="1" applyAlignment="1">
      <alignment horizontal="center"/>
    </xf>
    <xf numFmtId="0" fontId="36" fillId="0" borderId="1" xfId="0" applyFont="1" applyBorder="1" applyAlignment="1">
      <alignment horizontal="right" vertical="center"/>
    </xf>
    <xf numFmtId="0" fontId="32" fillId="0" borderId="49" xfId="0" applyFont="1" applyBorder="1" applyAlignment="1">
      <alignment horizontal="center"/>
    </xf>
    <xf numFmtId="0" fontId="37" fillId="0" borderId="1" xfId="0" applyFont="1" applyBorder="1" applyAlignment="1">
      <alignment horizontal="right" vertical="center"/>
    </xf>
    <xf numFmtId="0" fontId="10" fillId="0" borderId="49" xfId="0" applyFont="1" applyBorder="1"/>
    <xf numFmtId="0" fontId="0" fillId="0" borderId="49" xfId="0" applyBorder="1"/>
    <xf numFmtId="0" fontId="37" fillId="0" borderId="11" xfId="0" applyFont="1" applyBorder="1" applyAlignment="1">
      <alignment horizontal="right" vertical="center"/>
    </xf>
    <xf numFmtId="0" fontId="37" fillId="3" borderId="1" xfId="0" applyFont="1" applyFill="1" applyBorder="1" applyAlignment="1">
      <alignment horizontal="right" vertical="center"/>
    </xf>
    <xf numFmtId="0" fontId="0" fillId="0" borderId="11" xfId="0" applyBorder="1"/>
    <xf numFmtId="0" fontId="0" fillId="0" borderId="50" xfId="0" applyBorder="1"/>
    <xf numFmtId="0" fontId="0" fillId="0" borderId="13" xfId="0" applyBorder="1"/>
    <xf numFmtId="0" fontId="0" fillId="0" borderId="51" xfId="0" applyBorder="1"/>
    <xf numFmtId="0" fontId="0" fillId="0" borderId="9" xfId="0" applyBorder="1"/>
    <xf numFmtId="0" fontId="43" fillId="0" borderId="25" xfId="6" applyFont="1" applyFill="1" applyBorder="1" applyAlignment="1" applyProtection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6" fillId="0" borderId="19" xfId="0" quotePrefix="1" applyFont="1" applyBorder="1" applyAlignment="1">
      <alignment horizontal="right" vertical="center"/>
    </xf>
    <xf numFmtId="0" fontId="36" fillId="0" borderId="34" xfId="0" applyFont="1" applyBorder="1" applyAlignment="1">
      <alignment horizontal="right" vertical="center"/>
    </xf>
    <xf numFmtId="0" fontId="34" fillId="0" borderId="0" xfId="0" applyFont="1" applyBorder="1" applyAlignment="1">
      <alignment horizontal="center"/>
    </xf>
    <xf numFmtId="0" fontId="34" fillId="0" borderId="42" xfId="0" applyFont="1" applyBorder="1" applyAlignment="1">
      <alignment horizontal="center" wrapText="1"/>
    </xf>
    <xf numFmtId="0" fontId="43" fillId="0" borderId="42" xfId="6" applyFont="1" applyFill="1" applyBorder="1" applyAlignment="1" applyProtection="1">
      <alignment horizontal="center" vertical="center" wrapText="1"/>
    </xf>
    <xf numFmtId="0" fontId="43" fillId="0" borderId="52" xfId="6" applyFont="1" applyFill="1" applyBorder="1" applyAlignment="1" applyProtection="1">
      <alignment horizontal="center" vertical="center" wrapText="1"/>
    </xf>
    <xf numFmtId="0" fontId="43" fillId="0" borderId="44" xfId="6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165" fontId="4" fillId="3" borderId="26" xfId="1" applyNumberFormat="1" applyFont="1" applyFill="1" applyBorder="1" applyAlignment="1">
      <alignment horizontal="center" vertical="center" wrapText="1"/>
    </xf>
    <xf numFmtId="165" fontId="4" fillId="3" borderId="27" xfId="1" applyNumberFormat="1" applyFont="1" applyFill="1" applyBorder="1" applyAlignment="1">
      <alignment horizontal="center" vertical="center" wrapText="1"/>
    </xf>
    <xf numFmtId="165" fontId="4" fillId="3" borderId="28" xfId="1" applyNumberFormat="1" applyFont="1" applyFill="1" applyBorder="1" applyAlignment="1">
      <alignment horizontal="center" vertical="center" wrapText="1"/>
    </xf>
    <xf numFmtId="165" fontId="6" fillId="3" borderId="1" xfId="1" applyNumberFormat="1" applyFont="1" applyFill="1" applyBorder="1" applyAlignment="1">
      <alignment horizontal="right"/>
    </xf>
    <xf numFmtId="165" fontId="6" fillId="3" borderId="2" xfId="1" applyNumberFormat="1" applyFont="1" applyFill="1" applyBorder="1" applyAlignment="1">
      <alignment horizontal="right"/>
    </xf>
    <xf numFmtId="165" fontId="6" fillId="3" borderId="3" xfId="1" applyNumberFormat="1" applyFont="1" applyFill="1" applyBorder="1" applyAlignment="1">
      <alignment horizontal="right"/>
    </xf>
    <xf numFmtId="0" fontId="4" fillId="3" borderId="26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textRotation="90" wrapText="1"/>
    </xf>
    <xf numFmtId="0" fontId="4" fillId="3" borderId="6" xfId="0" applyFont="1" applyFill="1" applyBorder="1" applyAlignment="1">
      <alignment horizontal="center" textRotation="90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165" fontId="4" fillId="3" borderId="37" xfId="1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4" fillId="0" borderId="26" xfId="1" applyNumberFormat="1" applyFont="1" applyBorder="1" applyAlignment="1">
      <alignment horizontal="center" vertical="center" wrapText="1"/>
    </xf>
    <xf numFmtId="165" fontId="4" fillId="0" borderId="27" xfId="1" applyNumberFormat="1" applyFont="1" applyBorder="1" applyAlignment="1">
      <alignment horizontal="center" vertical="center" wrapText="1"/>
    </xf>
    <xf numFmtId="165" fontId="4" fillId="0" borderId="37" xfId="1" applyNumberFormat="1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8" xfId="1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5" fontId="4" fillId="0" borderId="26" xfId="1" applyNumberFormat="1" applyFont="1" applyBorder="1" applyAlignment="1">
      <alignment horizontal="center" vertical="center"/>
    </xf>
    <xf numFmtId="165" fontId="4" fillId="0" borderId="27" xfId="1" applyNumberFormat="1" applyFont="1" applyBorder="1" applyAlignment="1">
      <alignment horizontal="center" vertical="center"/>
    </xf>
    <xf numFmtId="165" fontId="4" fillId="0" borderId="28" xfId="1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165" fontId="6" fillId="0" borderId="31" xfId="1" applyNumberFormat="1" applyFont="1" applyBorder="1" applyAlignment="1">
      <alignment horizontal="right"/>
    </xf>
    <xf numFmtId="165" fontId="6" fillId="0" borderId="9" xfId="1" applyNumberFormat="1" applyFont="1" applyBorder="1" applyAlignment="1">
      <alignment horizontal="right"/>
    </xf>
    <xf numFmtId="165" fontId="6" fillId="0" borderId="8" xfId="1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6" fillId="0" borderId="3" xfId="1" applyNumberFormat="1" applyFont="1" applyBorder="1" applyAlignment="1">
      <alignment horizontal="right"/>
    </xf>
    <xf numFmtId="165" fontId="4" fillId="0" borderId="33" xfId="1" applyNumberFormat="1" applyFont="1" applyBorder="1" applyAlignment="1">
      <alignment horizontal="center" vertical="center"/>
    </xf>
    <xf numFmtId="165" fontId="4" fillId="0" borderId="32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5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right"/>
    </xf>
    <xf numFmtId="0" fontId="4" fillId="0" borderId="33" xfId="0" applyFont="1" applyBorder="1" applyAlignment="1">
      <alignment horizontal="center" vertical="center"/>
    </xf>
    <xf numFmtId="165" fontId="4" fillId="0" borderId="36" xfId="1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4" fillId="0" borderId="11" xfId="1" applyNumberFormat="1" applyFont="1" applyBorder="1" applyAlignment="1">
      <alignment horizontal="center" vertical="center"/>
    </xf>
    <xf numFmtId="0" fontId="5" fillId="3" borderId="4" xfId="10" applyFont="1" applyFill="1" applyBorder="1" applyAlignment="1">
      <alignment horizontal="center" vertical="top" wrapText="1"/>
    </xf>
    <xf numFmtId="0" fontId="5" fillId="3" borderId="4" xfId="10" applyFont="1" applyFill="1" applyBorder="1"/>
    <xf numFmtId="0" fontId="4" fillId="3" borderId="4" xfId="10" applyFont="1" applyFill="1" applyBorder="1" applyAlignment="1">
      <alignment horizontal="center" vertical="top" wrapText="1"/>
    </xf>
    <xf numFmtId="0" fontId="4" fillId="3" borderId="4" xfId="10" applyFont="1" applyFill="1" applyBorder="1"/>
    <xf numFmtId="0" fontId="6" fillId="3" borderId="4" xfId="10" applyFont="1" applyFill="1" applyBorder="1" applyAlignment="1">
      <alignment horizontal="center" vertical="top" wrapText="1"/>
    </xf>
    <xf numFmtId="0" fontId="6" fillId="3" borderId="4" xfId="10" applyFont="1" applyFill="1" applyBorder="1"/>
    <xf numFmtId="0" fontId="20" fillId="0" borderId="0" xfId="0" applyFont="1" applyFill="1" applyAlignment="1">
      <alignment horizontal="center" vertical="top" wrapText="1"/>
    </xf>
    <xf numFmtId="0" fontId="21" fillId="0" borderId="0" xfId="0" applyFont="1" applyFill="1"/>
    <xf numFmtId="0" fontId="2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10" applyFont="1" applyAlignment="1">
      <alignment horizontal="center"/>
    </xf>
    <xf numFmtId="0" fontId="25" fillId="0" borderId="0" xfId="0" applyNumberFormat="1" applyFont="1" applyBorder="1" applyAlignment="1" applyProtection="1">
      <alignment horizontal="right"/>
    </xf>
    <xf numFmtId="0" fontId="0" fillId="0" borderId="0" xfId="0" applyAlignment="1"/>
    <xf numFmtId="0" fontId="42" fillId="0" borderId="0" xfId="0" applyNumberFormat="1" applyFont="1" applyBorder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center" vertical="top"/>
    </xf>
    <xf numFmtId="0" fontId="4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5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34" fillId="0" borderId="44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</cellXfs>
  <cellStyles count="11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 4" xfId="8"/>
    <cellStyle name="Normál 5" xfId="10"/>
    <cellStyle name="Százalék" xfId="9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B21" sqref="B21"/>
    </sheetView>
  </sheetViews>
  <sheetFormatPr defaultRowHeight="15"/>
  <cols>
    <col min="1" max="1" width="18.85546875" style="38" bestFit="1" customWidth="1"/>
    <col min="2" max="2" width="99" style="38" bestFit="1" customWidth="1"/>
    <col min="3" max="256" width="9.140625" style="38"/>
    <col min="257" max="257" width="18.85546875" style="38" bestFit="1" customWidth="1"/>
    <col min="258" max="258" width="99" style="38" bestFit="1" customWidth="1"/>
    <col min="259" max="512" width="9.140625" style="38"/>
    <col min="513" max="513" width="18.85546875" style="38" bestFit="1" customWidth="1"/>
    <col min="514" max="514" width="99" style="38" bestFit="1" customWidth="1"/>
    <col min="515" max="768" width="9.140625" style="38"/>
    <col min="769" max="769" width="18.85546875" style="38" bestFit="1" customWidth="1"/>
    <col min="770" max="770" width="99" style="38" bestFit="1" customWidth="1"/>
    <col min="771" max="1024" width="9.140625" style="38"/>
    <col min="1025" max="1025" width="18.85546875" style="38" bestFit="1" customWidth="1"/>
    <col min="1026" max="1026" width="99" style="38" bestFit="1" customWidth="1"/>
    <col min="1027" max="1280" width="9.140625" style="38"/>
    <col min="1281" max="1281" width="18.85546875" style="38" bestFit="1" customWidth="1"/>
    <col min="1282" max="1282" width="99" style="38" bestFit="1" customWidth="1"/>
    <col min="1283" max="1536" width="9.140625" style="38"/>
    <col min="1537" max="1537" width="18.85546875" style="38" bestFit="1" customWidth="1"/>
    <col min="1538" max="1538" width="99" style="38" bestFit="1" customWidth="1"/>
    <col min="1539" max="1792" width="9.140625" style="38"/>
    <col min="1793" max="1793" width="18.85546875" style="38" bestFit="1" customWidth="1"/>
    <col min="1794" max="1794" width="99" style="38" bestFit="1" customWidth="1"/>
    <col min="1795" max="2048" width="9.140625" style="38"/>
    <col min="2049" max="2049" width="18.85546875" style="38" bestFit="1" customWidth="1"/>
    <col min="2050" max="2050" width="99" style="38" bestFit="1" customWidth="1"/>
    <col min="2051" max="2304" width="9.140625" style="38"/>
    <col min="2305" max="2305" width="18.85546875" style="38" bestFit="1" customWidth="1"/>
    <col min="2306" max="2306" width="99" style="38" bestFit="1" customWidth="1"/>
    <col min="2307" max="2560" width="9.140625" style="38"/>
    <col min="2561" max="2561" width="18.85546875" style="38" bestFit="1" customWidth="1"/>
    <col min="2562" max="2562" width="99" style="38" bestFit="1" customWidth="1"/>
    <col min="2563" max="2816" width="9.140625" style="38"/>
    <col min="2817" max="2817" width="18.85546875" style="38" bestFit="1" customWidth="1"/>
    <col min="2818" max="2818" width="99" style="38" bestFit="1" customWidth="1"/>
    <col min="2819" max="3072" width="9.140625" style="38"/>
    <col min="3073" max="3073" width="18.85546875" style="38" bestFit="1" customWidth="1"/>
    <col min="3074" max="3074" width="99" style="38" bestFit="1" customWidth="1"/>
    <col min="3075" max="3328" width="9.140625" style="38"/>
    <col min="3329" max="3329" width="18.85546875" style="38" bestFit="1" customWidth="1"/>
    <col min="3330" max="3330" width="99" style="38" bestFit="1" customWidth="1"/>
    <col min="3331" max="3584" width="9.140625" style="38"/>
    <col min="3585" max="3585" width="18.85546875" style="38" bestFit="1" customWidth="1"/>
    <col min="3586" max="3586" width="99" style="38" bestFit="1" customWidth="1"/>
    <col min="3587" max="3840" width="9.140625" style="38"/>
    <col min="3841" max="3841" width="18.85546875" style="38" bestFit="1" customWidth="1"/>
    <col min="3842" max="3842" width="99" style="38" bestFit="1" customWidth="1"/>
    <col min="3843" max="4096" width="9.140625" style="38"/>
    <col min="4097" max="4097" width="18.85546875" style="38" bestFit="1" customWidth="1"/>
    <col min="4098" max="4098" width="99" style="38" bestFit="1" customWidth="1"/>
    <col min="4099" max="4352" width="9.140625" style="38"/>
    <col min="4353" max="4353" width="18.85546875" style="38" bestFit="1" customWidth="1"/>
    <col min="4354" max="4354" width="99" style="38" bestFit="1" customWidth="1"/>
    <col min="4355" max="4608" width="9.140625" style="38"/>
    <col min="4609" max="4609" width="18.85546875" style="38" bestFit="1" customWidth="1"/>
    <col min="4610" max="4610" width="99" style="38" bestFit="1" customWidth="1"/>
    <col min="4611" max="4864" width="9.140625" style="38"/>
    <col min="4865" max="4865" width="18.85546875" style="38" bestFit="1" customWidth="1"/>
    <col min="4866" max="4866" width="99" style="38" bestFit="1" customWidth="1"/>
    <col min="4867" max="5120" width="9.140625" style="38"/>
    <col min="5121" max="5121" width="18.85546875" style="38" bestFit="1" customWidth="1"/>
    <col min="5122" max="5122" width="99" style="38" bestFit="1" customWidth="1"/>
    <col min="5123" max="5376" width="9.140625" style="38"/>
    <col min="5377" max="5377" width="18.85546875" style="38" bestFit="1" customWidth="1"/>
    <col min="5378" max="5378" width="99" style="38" bestFit="1" customWidth="1"/>
    <col min="5379" max="5632" width="9.140625" style="38"/>
    <col min="5633" max="5633" width="18.85546875" style="38" bestFit="1" customWidth="1"/>
    <col min="5634" max="5634" width="99" style="38" bestFit="1" customWidth="1"/>
    <col min="5635" max="5888" width="9.140625" style="38"/>
    <col min="5889" max="5889" width="18.85546875" style="38" bestFit="1" customWidth="1"/>
    <col min="5890" max="5890" width="99" style="38" bestFit="1" customWidth="1"/>
    <col min="5891" max="6144" width="9.140625" style="38"/>
    <col min="6145" max="6145" width="18.85546875" style="38" bestFit="1" customWidth="1"/>
    <col min="6146" max="6146" width="99" style="38" bestFit="1" customWidth="1"/>
    <col min="6147" max="6400" width="9.140625" style="38"/>
    <col min="6401" max="6401" width="18.85546875" style="38" bestFit="1" customWidth="1"/>
    <col min="6402" max="6402" width="99" style="38" bestFit="1" customWidth="1"/>
    <col min="6403" max="6656" width="9.140625" style="38"/>
    <col min="6657" max="6657" width="18.85546875" style="38" bestFit="1" customWidth="1"/>
    <col min="6658" max="6658" width="99" style="38" bestFit="1" customWidth="1"/>
    <col min="6659" max="6912" width="9.140625" style="38"/>
    <col min="6913" max="6913" width="18.85546875" style="38" bestFit="1" customWidth="1"/>
    <col min="6914" max="6914" width="99" style="38" bestFit="1" customWidth="1"/>
    <col min="6915" max="7168" width="9.140625" style="38"/>
    <col min="7169" max="7169" width="18.85546875" style="38" bestFit="1" customWidth="1"/>
    <col min="7170" max="7170" width="99" style="38" bestFit="1" customWidth="1"/>
    <col min="7171" max="7424" width="9.140625" style="38"/>
    <col min="7425" max="7425" width="18.85546875" style="38" bestFit="1" customWidth="1"/>
    <col min="7426" max="7426" width="99" style="38" bestFit="1" customWidth="1"/>
    <col min="7427" max="7680" width="9.140625" style="38"/>
    <col min="7681" max="7681" width="18.85546875" style="38" bestFit="1" customWidth="1"/>
    <col min="7682" max="7682" width="99" style="38" bestFit="1" customWidth="1"/>
    <col min="7683" max="7936" width="9.140625" style="38"/>
    <col min="7937" max="7937" width="18.85546875" style="38" bestFit="1" customWidth="1"/>
    <col min="7938" max="7938" width="99" style="38" bestFit="1" customWidth="1"/>
    <col min="7939" max="8192" width="9.140625" style="38"/>
    <col min="8193" max="8193" width="18.85546875" style="38" bestFit="1" customWidth="1"/>
    <col min="8194" max="8194" width="99" style="38" bestFit="1" customWidth="1"/>
    <col min="8195" max="8448" width="9.140625" style="38"/>
    <col min="8449" max="8449" width="18.85546875" style="38" bestFit="1" customWidth="1"/>
    <col min="8450" max="8450" width="99" style="38" bestFit="1" customWidth="1"/>
    <col min="8451" max="8704" width="9.140625" style="38"/>
    <col min="8705" max="8705" width="18.85546875" style="38" bestFit="1" customWidth="1"/>
    <col min="8706" max="8706" width="99" style="38" bestFit="1" customWidth="1"/>
    <col min="8707" max="8960" width="9.140625" style="38"/>
    <col min="8961" max="8961" width="18.85546875" style="38" bestFit="1" customWidth="1"/>
    <col min="8962" max="8962" width="99" style="38" bestFit="1" customWidth="1"/>
    <col min="8963" max="9216" width="9.140625" style="38"/>
    <col min="9217" max="9217" width="18.85546875" style="38" bestFit="1" customWidth="1"/>
    <col min="9218" max="9218" width="99" style="38" bestFit="1" customWidth="1"/>
    <col min="9219" max="9472" width="9.140625" style="38"/>
    <col min="9473" max="9473" width="18.85546875" style="38" bestFit="1" customWidth="1"/>
    <col min="9474" max="9474" width="99" style="38" bestFit="1" customWidth="1"/>
    <col min="9475" max="9728" width="9.140625" style="38"/>
    <col min="9729" max="9729" width="18.85546875" style="38" bestFit="1" customWidth="1"/>
    <col min="9730" max="9730" width="99" style="38" bestFit="1" customWidth="1"/>
    <col min="9731" max="9984" width="9.140625" style="38"/>
    <col min="9985" max="9985" width="18.85546875" style="38" bestFit="1" customWidth="1"/>
    <col min="9986" max="9986" width="99" style="38" bestFit="1" customWidth="1"/>
    <col min="9987" max="10240" width="9.140625" style="38"/>
    <col min="10241" max="10241" width="18.85546875" style="38" bestFit="1" customWidth="1"/>
    <col min="10242" max="10242" width="99" style="38" bestFit="1" customWidth="1"/>
    <col min="10243" max="10496" width="9.140625" style="38"/>
    <col min="10497" max="10497" width="18.85546875" style="38" bestFit="1" customWidth="1"/>
    <col min="10498" max="10498" width="99" style="38" bestFit="1" customWidth="1"/>
    <col min="10499" max="10752" width="9.140625" style="38"/>
    <col min="10753" max="10753" width="18.85546875" style="38" bestFit="1" customWidth="1"/>
    <col min="10754" max="10754" width="99" style="38" bestFit="1" customWidth="1"/>
    <col min="10755" max="11008" width="9.140625" style="38"/>
    <col min="11009" max="11009" width="18.85546875" style="38" bestFit="1" customWidth="1"/>
    <col min="11010" max="11010" width="99" style="38" bestFit="1" customWidth="1"/>
    <col min="11011" max="11264" width="9.140625" style="38"/>
    <col min="11265" max="11265" width="18.85546875" style="38" bestFit="1" customWidth="1"/>
    <col min="11266" max="11266" width="99" style="38" bestFit="1" customWidth="1"/>
    <col min="11267" max="11520" width="9.140625" style="38"/>
    <col min="11521" max="11521" width="18.85546875" style="38" bestFit="1" customWidth="1"/>
    <col min="11522" max="11522" width="99" style="38" bestFit="1" customWidth="1"/>
    <col min="11523" max="11776" width="9.140625" style="38"/>
    <col min="11777" max="11777" width="18.85546875" style="38" bestFit="1" customWidth="1"/>
    <col min="11778" max="11778" width="99" style="38" bestFit="1" customWidth="1"/>
    <col min="11779" max="12032" width="9.140625" style="38"/>
    <col min="12033" max="12033" width="18.85546875" style="38" bestFit="1" customWidth="1"/>
    <col min="12034" max="12034" width="99" style="38" bestFit="1" customWidth="1"/>
    <col min="12035" max="12288" width="9.140625" style="38"/>
    <col min="12289" max="12289" width="18.85546875" style="38" bestFit="1" customWidth="1"/>
    <col min="12290" max="12290" width="99" style="38" bestFit="1" customWidth="1"/>
    <col min="12291" max="12544" width="9.140625" style="38"/>
    <col min="12545" max="12545" width="18.85546875" style="38" bestFit="1" customWidth="1"/>
    <col min="12546" max="12546" width="99" style="38" bestFit="1" customWidth="1"/>
    <col min="12547" max="12800" width="9.140625" style="38"/>
    <col min="12801" max="12801" width="18.85546875" style="38" bestFit="1" customWidth="1"/>
    <col min="12802" max="12802" width="99" style="38" bestFit="1" customWidth="1"/>
    <col min="12803" max="13056" width="9.140625" style="38"/>
    <col min="13057" max="13057" width="18.85546875" style="38" bestFit="1" customWidth="1"/>
    <col min="13058" max="13058" width="99" style="38" bestFit="1" customWidth="1"/>
    <col min="13059" max="13312" width="9.140625" style="38"/>
    <col min="13313" max="13313" width="18.85546875" style="38" bestFit="1" customWidth="1"/>
    <col min="13314" max="13314" width="99" style="38" bestFit="1" customWidth="1"/>
    <col min="13315" max="13568" width="9.140625" style="38"/>
    <col min="13569" max="13569" width="18.85546875" style="38" bestFit="1" customWidth="1"/>
    <col min="13570" max="13570" width="99" style="38" bestFit="1" customWidth="1"/>
    <col min="13571" max="13824" width="9.140625" style="38"/>
    <col min="13825" max="13825" width="18.85546875" style="38" bestFit="1" customWidth="1"/>
    <col min="13826" max="13826" width="99" style="38" bestFit="1" customWidth="1"/>
    <col min="13827" max="14080" width="9.140625" style="38"/>
    <col min="14081" max="14081" width="18.85546875" style="38" bestFit="1" customWidth="1"/>
    <col min="14082" max="14082" width="99" style="38" bestFit="1" customWidth="1"/>
    <col min="14083" max="14336" width="9.140625" style="38"/>
    <col min="14337" max="14337" width="18.85546875" style="38" bestFit="1" customWidth="1"/>
    <col min="14338" max="14338" width="99" style="38" bestFit="1" customWidth="1"/>
    <col min="14339" max="14592" width="9.140625" style="38"/>
    <col min="14593" max="14593" width="18.85546875" style="38" bestFit="1" customWidth="1"/>
    <col min="14594" max="14594" width="99" style="38" bestFit="1" customWidth="1"/>
    <col min="14595" max="14848" width="9.140625" style="38"/>
    <col min="14849" max="14849" width="18.85546875" style="38" bestFit="1" customWidth="1"/>
    <col min="14850" max="14850" width="99" style="38" bestFit="1" customWidth="1"/>
    <col min="14851" max="15104" width="9.140625" style="38"/>
    <col min="15105" max="15105" width="18.85546875" style="38" bestFit="1" customWidth="1"/>
    <col min="15106" max="15106" width="99" style="38" bestFit="1" customWidth="1"/>
    <col min="15107" max="15360" width="9.140625" style="38"/>
    <col min="15361" max="15361" width="18.85546875" style="38" bestFit="1" customWidth="1"/>
    <col min="15362" max="15362" width="99" style="38" bestFit="1" customWidth="1"/>
    <col min="15363" max="15616" width="9.140625" style="38"/>
    <col min="15617" max="15617" width="18.85546875" style="38" bestFit="1" customWidth="1"/>
    <col min="15618" max="15618" width="99" style="38" bestFit="1" customWidth="1"/>
    <col min="15619" max="15872" width="9.140625" style="38"/>
    <col min="15873" max="15873" width="18.85546875" style="38" bestFit="1" customWidth="1"/>
    <col min="15874" max="15874" width="99" style="38" bestFit="1" customWidth="1"/>
    <col min="15875" max="16128" width="9.140625" style="38"/>
    <col min="16129" max="16129" width="18.85546875" style="38" bestFit="1" customWidth="1"/>
    <col min="16130" max="16130" width="99" style="38" bestFit="1" customWidth="1"/>
    <col min="16131" max="16384" width="9.140625" style="38"/>
  </cols>
  <sheetData>
    <row r="1" spans="1:2">
      <c r="A1" s="407" t="s">
        <v>80</v>
      </c>
      <c r="B1" s="407"/>
    </row>
    <row r="2" spans="1:2">
      <c r="A2" s="407" t="s">
        <v>594</v>
      </c>
      <c r="B2" s="407"/>
    </row>
    <row r="4" spans="1:2">
      <c r="A4" s="36" t="s">
        <v>68</v>
      </c>
      <c r="B4" s="31" t="s">
        <v>98</v>
      </c>
    </row>
    <row r="5" spans="1:2">
      <c r="A5" s="36" t="s">
        <v>81</v>
      </c>
      <c r="B5" s="31" t="s">
        <v>84</v>
      </c>
    </row>
    <row r="6" spans="1:2">
      <c r="A6" s="36" t="s">
        <v>69</v>
      </c>
      <c r="B6" s="31" t="s">
        <v>85</v>
      </c>
    </row>
    <row r="7" spans="1:2">
      <c r="A7" s="36" t="s">
        <v>70</v>
      </c>
      <c r="B7" s="31" t="s">
        <v>86</v>
      </c>
    </row>
    <row r="8" spans="1:2">
      <c r="A8" s="36" t="s">
        <v>71</v>
      </c>
      <c r="B8" s="31" t="s">
        <v>87</v>
      </c>
    </row>
    <row r="9" spans="1:2">
      <c r="A9" s="36" t="s">
        <v>72</v>
      </c>
      <c r="B9" s="31" t="s">
        <v>88</v>
      </c>
    </row>
    <row r="10" spans="1:2">
      <c r="A10" s="36" t="s">
        <v>73</v>
      </c>
      <c r="B10" s="31" t="s">
        <v>90</v>
      </c>
    </row>
    <row r="11" spans="1:2">
      <c r="A11" s="36" t="s">
        <v>74</v>
      </c>
      <c r="B11" s="31" t="s">
        <v>89</v>
      </c>
    </row>
    <row r="12" spans="1:2">
      <c r="A12" s="36" t="s">
        <v>75</v>
      </c>
      <c r="B12" s="31" t="s">
        <v>91</v>
      </c>
    </row>
    <row r="13" spans="1:2">
      <c r="A13" s="36" t="s">
        <v>76</v>
      </c>
      <c r="B13" s="59" t="s">
        <v>505</v>
      </c>
    </row>
    <row r="14" spans="1:2">
      <c r="A14" s="36" t="s">
        <v>77</v>
      </c>
      <c r="B14" s="59" t="s">
        <v>504</v>
      </c>
    </row>
    <row r="15" spans="1:2">
      <c r="A15" s="36" t="s">
        <v>82</v>
      </c>
      <c r="B15" s="59" t="s">
        <v>503</v>
      </c>
    </row>
    <row r="16" spans="1:2">
      <c r="A16" s="36" t="s">
        <v>83</v>
      </c>
      <c r="B16" s="59" t="s">
        <v>502</v>
      </c>
    </row>
    <row r="17" spans="1:2">
      <c r="A17" s="36" t="s">
        <v>558</v>
      </c>
      <c r="B17" s="59" t="s">
        <v>591</v>
      </c>
    </row>
    <row r="18" spans="1:2">
      <c r="A18" s="36" t="s">
        <v>589</v>
      </c>
      <c r="B18" s="59" t="s">
        <v>592</v>
      </c>
    </row>
    <row r="19" spans="1:2">
      <c r="A19" s="36" t="s">
        <v>590</v>
      </c>
      <c r="B19" s="31" t="s">
        <v>593</v>
      </c>
    </row>
    <row r="20" spans="1:2">
      <c r="A20" s="12" t="s">
        <v>508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O21"/>
  <sheetViews>
    <sheetView topLeftCell="AC1" workbookViewId="0">
      <selection activeCell="AM1" sqref="AM1:AO1"/>
    </sheetView>
  </sheetViews>
  <sheetFormatPr defaultRowHeight="15"/>
  <cols>
    <col min="1" max="1" width="3.85546875" customWidth="1"/>
    <col min="2" max="2" width="42.42578125" bestFit="1" customWidth="1"/>
    <col min="3" max="3" width="12.5703125" bestFit="1" customWidth="1"/>
    <col min="4" max="4" width="15" customWidth="1"/>
    <col min="5" max="5" width="12.5703125" customWidth="1"/>
    <col min="6" max="6" width="13.42578125" customWidth="1"/>
    <col min="7" max="7" width="12.5703125" bestFit="1" customWidth="1"/>
    <col min="8" max="8" width="15.5703125" customWidth="1"/>
    <col min="9" max="9" width="12.5703125" customWidth="1"/>
    <col min="10" max="10" width="14.5703125" customWidth="1"/>
    <col min="11" max="11" width="14.28515625" bestFit="1" customWidth="1"/>
    <col min="12" max="18" width="14.28515625" customWidth="1"/>
    <col min="19" max="19" width="12.7109375" customWidth="1"/>
    <col min="20" max="20" width="14.28515625" bestFit="1" customWidth="1"/>
    <col min="21" max="21" width="12.7109375" customWidth="1"/>
    <col min="22" max="22" width="17" customWidth="1"/>
    <col min="23" max="23" width="15.85546875" customWidth="1"/>
    <col min="24" max="24" width="15" customWidth="1"/>
    <col min="25" max="25" width="11.5703125" customWidth="1"/>
    <col min="26" max="26" width="14.85546875" customWidth="1"/>
    <col min="27" max="27" width="12.5703125" bestFit="1" customWidth="1"/>
    <col min="28" max="28" width="14.28515625" customWidth="1"/>
    <col min="29" max="29" width="12.5703125" customWidth="1"/>
    <col min="30" max="30" width="16.140625" customWidth="1"/>
    <col min="31" max="31" width="12.5703125" bestFit="1" customWidth="1"/>
    <col min="32" max="32" width="15.42578125" customWidth="1"/>
    <col min="33" max="33" width="12.5703125" customWidth="1"/>
    <col min="34" max="34" width="14.42578125" customWidth="1"/>
    <col min="35" max="35" width="12.5703125" bestFit="1" customWidth="1"/>
    <col min="36" max="36" width="14" customWidth="1"/>
    <col min="37" max="37" width="12.5703125" customWidth="1"/>
    <col min="38" max="38" width="14" customWidth="1"/>
    <col min="41" max="41" width="17.28515625" bestFit="1" customWidth="1"/>
  </cols>
  <sheetData>
    <row r="1" spans="1:41">
      <c r="AM1" s="447" t="s">
        <v>75</v>
      </c>
      <c r="AN1" s="447"/>
      <c r="AO1" s="447"/>
    </row>
    <row r="2" spans="1:41" s="1" customFormat="1">
      <c r="A2" s="447" t="s">
        <v>131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93" t="s">
        <v>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5"/>
    </row>
    <row r="4" spans="1:41" s="2" customFormat="1" ht="15" customHeight="1" thickBot="1">
      <c r="A4" s="447" t="s">
        <v>27</v>
      </c>
      <c r="B4" s="447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510"/>
      <c r="W4" s="474" t="s">
        <v>2</v>
      </c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74" t="s">
        <v>3</v>
      </c>
      <c r="AN4" s="447"/>
      <c r="AO4" s="447"/>
    </row>
    <row r="5" spans="1:41" s="2" customFormat="1" ht="66.75" customHeight="1">
      <c r="A5" s="499" t="s">
        <v>21</v>
      </c>
      <c r="B5" s="508" t="s">
        <v>99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41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77" t="s">
        <v>5</v>
      </c>
      <c r="AN5" s="479" t="s">
        <v>6</v>
      </c>
      <c r="AO5" s="450" t="s">
        <v>7</v>
      </c>
    </row>
    <row r="6" spans="1:41" s="2" customFormat="1" ht="21.75" customHeight="1">
      <c r="A6" s="500"/>
      <c r="B6" s="509"/>
      <c r="C6" s="151" t="s">
        <v>101</v>
      </c>
      <c r="D6" s="152" t="s">
        <v>100</v>
      </c>
      <c r="E6" s="152" t="s">
        <v>102</v>
      </c>
      <c r="F6" s="85" t="s">
        <v>103</v>
      </c>
      <c r="G6" s="151" t="s">
        <v>101</v>
      </c>
      <c r="H6" s="152" t="s">
        <v>100</v>
      </c>
      <c r="I6" s="152" t="s">
        <v>102</v>
      </c>
      <c r="J6" s="85" t="s">
        <v>103</v>
      </c>
      <c r="K6" s="151" t="s">
        <v>101</v>
      </c>
      <c r="L6" s="152" t="s">
        <v>100</v>
      </c>
      <c r="M6" s="152" t="s">
        <v>102</v>
      </c>
      <c r="N6" s="85" t="s">
        <v>103</v>
      </c>
      <c r="O6" s="151" t="s">
        <v>101</v>
      </c>
      <c r="P6" s="152" t="s">
        <v>100</v>
      </c>
      <c r="Q6" s="152" t="s">
        <v>102</v>
      </c>
      <c r="R6" s="85" t="s">
        <v>103</v>
      </c>
      <c r="S6" s="151" t="s">
        <v>101</v>
      </c>
      <c r="T6" s="152" t="s">
        <v>100</v>
      </c>
      <c r="U6" s="152" t="s">
        <v>102</v>
      </c>
      <c r="V6" s="85" t="s">
        <v>103</v>
      </c>
      <c r="W6" s="151" t="s">
        <v>101</v>
      </c>
      <c r="X6" s="152" t="s">
        <v>100</v>
      </c>
      <c r="Y6" s="152" t="s">
        <v>102</v>
      </c>
      <c r="Z6" s="85" t="s">
        <v>103</v>
      </c>
      <c r="AA6" s="151" t="s">
        <v>101</v>
      </c>
      <c r="AB6" s="152" t="s">
        <v>100</v>
      </c>
      <c r="AC6" s="152" t="s">
        <v>102</v>
      </c>
      <c r="AD6" s="85" t="s">
        <v>103</v>
      </c>
      <c r="AE6" s="151" t="s">
        <v>101</v>
      </c>
      <c r="AF6" s="152" t="s">
        <v>100</v>
      </c>
      <c r="AG6" s="152" t="s">
        <v>102</v>
      </c>
      <c r="AH6" s="85" t="s">
        <v>103</v>
      </c>
      <c r="AI6" s="151" t="s">
        <v>101</v>
      </c>
      <c r="AJ6" s="152" t="s">
        <v>100</v>
      </c>
      <c r="AK6" s="152" t="s">
        <v>102</v>
      </c>
      <c r="AL6" s="85" t="s">
        <v>103</v>
      </c>
      <c r="AM6" s="478"/>
      <c r="AN6" s="480"/>
      <c r="AO6" s="481"/>
    </row>
    <row r="7" spans="1:41" s="1" customFormat="1">
      <c r="A7" s="54" t="s">
        <v>42</v>
      </c>
      <c r="B7" s="167" t="s">
        <v>67</v>
      </c>
      <c r="C7" s="100">
        <v>16964</v>
      </c>
      <c r="D7" s="10">
        <v>21398</v>
      </c>
      <c r="E7" s="10">
        <f>17266+4742</f>
        <v>22008</v>
      </c>
      <c r="F7" s="101">
        <f>E7/D7</f>
        <v>1.0285073371343116</v>
      </c>
      <c r="G7" s="100">
        <v>5029</v>
      </c>
      <c r="H7" s="10">
        <v>5469</v>
      </c>
      <c r="I7" s="10">
        <v>5252</v>
      </c>
      <c r="J7" s="101">
        <f>I7/H7</f>
        <v>0.96032181385993787</v>
      </c>
      <c r="K7" s="102"/>
      <c r="L7" s="18">
        <v>43</v>
      </c>
      <c r="M7" s="18">
        <v>43</v>
      </c>
      <c r="N7" s="93">
        <f>M7/L7</f>
        <v>1</v>
      </c>
      <c r="O7" s="102"/>
      <c r="P7" s="18">
        <v>6517</v>
      </c>
      <c r="Q7" s="18">
        <v>6464</v>
      </c>
      <c r="R7" s="93">
        <f>Q7/P7</f>
        <v>0.99186742366119385</v>
      </c>
      <c r="S7" s="100">
        <f>C7+G7+K7+O7</f>
        <v>21993</v>
      </c>
      <c r="T7" s="10">
        <f t="shared" ref="T7:U16" si="0">D7+H7+L7+P7</f>
        <v>33427</v>
      </c>
      <c r="U7" s="10">
        <f t="shared" si="0"/>
        <v>33767</v>
      </c>
      <c r="V7" s="101">
        <f>U7/T7</f>
        <v>1.0101714183145361</v>
      </c>
      <c r="W7" s="100">
        <v>1935</v>
      </c>
      <c r="X7" s="10">
        <v>1935</v>
      </c>
      <c r="Y7" s="10">
        <v>4016</v>
      </c>
      <c r="Z7" s="101">
        <f>Y7/X7</f>
        <v>2.0754521963824288</v>
      </c>
      <c r="AA7" s="102">
        <v>0</v>
      </c>
      <c r="AB7" s="5"/>
      <c r="AC7" s="5"/>
      <c r="AD7" s="106"/>
      <c r="AE7" s="100">
        <f>S7-W7-AA7</f>
        <v>20058</v>
      </c>
      <c r="AF7" s="5"/>
      <c r="AG7" s="5"/>
      <c r="AH7" s="106"/>
      <c r="AI7" s="108">
        <f>W7+AA7+AE7</f>
        <v>21993</v>
      </c>
      <c r="AJ7" s="4">
        <f t="shared" ref="AJ7:AK16" si="1">X7+AB7+AF7</f>
        <v>1935</v>
      </c>
      <c r="AK7" s="4">
        <f t="shared" si="1"/>
        <v>4016</v>
      </c>
      <c r="AL7" s="103">
        <f>AK7/AJ7</f>
        <v>2.0754521963824288</v>
      </c>
      <c r="AM7" s="186">
        <v>11</v>
      </c>
      <c r="AN7" s="63">
        <v>1</v>
      </c>
      <c r="AO7" s="50"/>
    </row>
    <row r="8" spans="1:41" s="1" customFormat="1">
      <c r="A8" s="54" t="s">
        <v>42</v>
      </c>
      <c r="B8" s="168" t="s">
        <v>92</v>
      </c>
      <c r="C8" s="100">
        <v>2101</v>
      </c>
      <c r="D8" s="10">
        <f>1654+447</f>
        <v>2101</v>
      </c>
      <c r="E8" s="10">
        <f>1630+444</f>
        <v>2074</v>
      </c>
      <c r="F8" s="101">
        <f t="shared" ref="F8:F13" si="2">E8/D8</f>
        <v>0.98714897667777246</v>
      </c>
      <c r="G8" s="100">
        <v>4544</v>
      </c>
      <c r="H8" s="10">
        <v>7559</v>
      </c>
      <c r="I8" s="10">
        <v>5838</v>
      </c>
      <c r="J8" s="101">
        <f t="shared" ref="J8:J14" si="3">I8/H8</f>
        <v>0.77232438153194871</v>
      </c>
      <c r="K8" s="102"/>
      <c r="L8" s="5"/>
      <c r="M8" s="5"/>
      <c r="N8" s="104"/>
      <c r="O8" s="102"/>
      <c r="P8" s="5"/>
      <c r="Q8" s="5"/>
      <c r="R8" s="106"/>
      <c r="S8" s="100">
        <f t="shared" ref="S8:S16" si="4">C8+G8+K8+O8</f>
        <v>6645</v>
      </c>
      <c r="T8" s="10">
        <f t="shared" si="0"/>
        <v>9660</v>
      </c>
      <c r="U8" s="10">
        <f t="shared" si="0"/>
        <v>7912</v>
      </c>
      <c r="V8" s="101">
        <f t="shared" ref="V8:V19" si="5">U8/T8</f>
        <v>0.81904761904761902</v>
      </c>
      <c r="W8" s="102">
        <v>0</v>
      </c>
      <c r="X8" s="5"/>
      <c r="Y8" s="10">
        <v>1896</v>
      </c>
      <c r="Z8" s="104"/>
      <c r="AA8" s="100">
        <v>6645</v>
      </c>
      <c r="AB8" s="5"/>
      <c r="AC8" s="5"/>
      <c r="AD8" s="106"/>
      <c r="AE8" s="102">
        <f t="shared" ref="AE8:AE10" si="6">S8-W8-AA8</f>
        <v>0</v>
      </c>
      <c r="AF8" s="5"/>
      <c r="AG8" s="5"/>
      <c r="AH8" s="106"/>
      <c r="AI8" s="108">
        <f t="shared" ref="AI8:AI16" si="7">W8+AA8+AE8</f>
        <v>6645</v>
      </c>
      <c r="AJ8" s="5">
        <f t="shared" si="1"/>
        <v>0</v>
      </c>
      <c r="AK8" s="4">
        <f t="shared" si="1"/>
        <v>1896</v>
      </c>
      <c r="AL8" s="104"/>
      <c r="AM8" s="186">
        <v>1</v>
      </c>
      <c r="AN8" s="63"/>
      <c r="AO8" s="50"/>
    </row>
    <row r="9" spans="1:41">
      <c r="A9" s="31" t="s">
        <v>42</v>
      </c>
      <c r="B9" s="168" t="s">
        <v>65</v>
      </c>
      <c r="C9" s="172">
        <v>1850</v>
      </c>
      <c r="D9" s="39">
        <f>1525+383</f>
        <v>1908</v>
      </c>
      <c r="E9" s="39">
        <f>1480+397</f>
        <v>1877</v>
      </c>
      <c r="F9" s="101">
        <f t="shared" si="2"/>
        <v>0.9837526205450734</v>
      </c>
      <c r="G9" s="172">
        <v>1283</v>
      </c>
      <c r="H9" s="39">
        <v>1283</v>
      </c>
      <c r="I9" s="39">
        <v>954</v>
      </c>
      <c r="J9" s="101">
        <f t="shared" si="3"/>
        <v>0.74356975837879968</v>
      </c>
      <c r="K9" s="174">
        <v>0</v>
      </c>
      <c r="L9" s="40"/>
      <c r="M9" s="40"/>
      <c r="N9" s="179"/>
      <c r="O9" s="174"/>
      <c r="P9" s="40"/>
      <c r="Q9" s="40"/>
      <c r="R9" s="175"/>
      <c r="S9" s="100">
        <f t="shared" si="4"/>
        <v>3133</v>
      </c>
      <c r="T9" s="10">
        <f t="shared" si="0"/>
        <v>3191</v>
      </c>
      <c r="U9" s="10">
        <f t="shared" si="0"/>
        <v>2831</v>
      </c>
      <c r="V9" s="101">
        <f t="shared" si="5"/>
        <v>0.88718270134753996</v>
      </c>
      <c r="W9" s="172">
        <v>1905</v>
      </c>
      <c r="X9" s="39">
        <v>1905</v>
      </c>
      <c r="Y9" s="39">
        <v>2538</v>
      </c>
      <c r="Z9" s="101">
        <f t="shared" ref="Z9:Z19" si="8">Y9/X9</f>
        <v>1.332283464566929</v>
      </c>
      <c r="AA9" s="172">
        <v>2775</v>
      </c>
      <c r="AB9" s="40"/>
      <c r="AC9" s="40"/>
      <c r="AD9" s="175"/>
      <c r="AE9" s="100">
        <v>-1547</v>
      </c>
      <c r="AF9" s="5"/>
      <c r="AG9" s="5"/>
      <c r="AH9" s="106"/>
      <c r="AI9" s="108">
        <f t="shared" si="7"/>
        <v>3133</v>
      </c>
      <c r="AJ9" s="4">
        <f t="shared" si="1"/>
        <v>1905</v>
      </c>
      <c r="AK9" s="4">
        <f t="shared" si="1"/>
        <v>2538</v>
      </c>
      <c r="AL9" s="103">
        <f t="shared" ref="AL9:AL19" si="9">AK9/AJ9</f>
        <v>1.332283464566929</v>
      </c>
      <c r="AM9" s="187">
        <v>1</v>
      </c>
      <c r="AN9" s="64"/>
      <c r="AO9" s="65"/>
    </row>
    <row r="10" spans="1:41">
      <c r="A10" s="31" t="s">
        <v>42</v>
      </c>
      <c r="B10" s="168" t="s">
        <v>93</v>
      </c>
      <c r="C10" s="172"/>
      <c r="D10" s="39">
        <v>1486</v>
      </c>
      <c r="E10" s="39">
        <f>1779+464</f>
        <v>2243</v>
      </c>
      <c r="F10" s="101">
        <f t="shared" si="2"/>
        <v>1.509421265141319</v>
      </c>
      <c r="G10" s="172">
        <v>2412</v>
      </c>
      <c r="H10" s="39">
        <v>2412</v>
      </c>
      <c r="I10" s="39">
        <v>1756</v>
      </c>
      <c r="J10" s="101">
        <f t="shared" si="3"/>
        <v>0.72802653399668327</v>
      </c>
      <c r="K10" s="174"/>
      <c r="L10" s="40"/>
      <c r="M10" s="40"/>
      <c r="N10" s="179"/>
      <c r="O10" s="174"/>
      <c r="P10" s="40"/>
      <c r="Q10" s="40"/>
      <c r="R10" s="175"/>
      <c r="S10" s="100">
        <f t="shared" si="4"/>
        <v>2412</v>
      </c>
      <c r="T10" s="10">
        <f t="shared" si="0"/>
        <v>3898</v>
      </c>
      <c r="U10" s="10">
        <f t="shared" si="0"/>
        <v>3999</v>
      </c>
      <c r="V10" s="101">
        <f t="shared" si="5"/>
        <v>1.0259107234479221</v>
      </c>
      <c r="W10" s="172">
        <v>2299</v>
      </c>
      <c r="X10" s="39">
        <v>1632</v>
      </c>
      <c r="Y10" s="39">
        <v>2713</v>
      </c>
      <c r="Z10" s="101">
        <f t="shared" si="8"/>
        <v>1.6623774509803921</v>
      </c>
      <c r="AA10" s="172">
        <v>197</v>
      </c>
      <c r="AB10" s="40"/>
      <c r="AC10" s="40"/>
      <c r="AD10" s="175"/>
      <c r="AE10" s="100">
        <f t="shared" si="6"/>
        <v>-84</v>
      </c>
      <c r="AF10" s="5"/>
      <c r="AG10" s="5"/>
      <c r="AH10" s="106"/>
      <c r="AI10" s="108">
        <f t="shared" si="7"/>
        <v>2412</v>
      </c>
      <c r="AJ10" s="4">
        <f t="shared" si="1"/>
        <v>1632</v>
      </c>
      <c r="AK10" s="4">
        <f t="shared" si="1"/>
        <v>2713</v>
      </c>
      <c r="AL10" s="103">
        <f t="shared" si="9"/>
        <v>1.6623774509803921</v>
      </c>
      <c r="AM10" s="187"/>
      <c r="AN10" s="64"/>
      <c r="AO10" s="65"/>
    </row>
    <row r="11" spans="1:41" s="57" customFormat="1">
      <c r="A11" s="58" t="s">
        <v>43</v>
      </c>
      <c r="B11" s="169" t="s">
        <v>129</v>
      </c>
      <c r="C11" s="173"/>
      <c r="D11" s="166">
        <v>1293</v>
      </c>
      <c r="E11" s="166">
        <v>4601</v>
      </c>
      <c r="F11" s="101">
        <f>E11/D11</f>
        <v>3.5583913379737044</v>
      </c>
      <c r="G11" s="177">
        <v>8647</v>
      </c>
      <c r="H11" s="60">
        <v>2085</v>
      </c>
      <c r="I11" s="60">
        <v>11099</v>
      </c>
      <c r="J11" s="101">
        <f t="shared" si="3"/>
        <v>5.3232613908872901</v>
      </c>
      <c r="K11" s="173"/>
      <c r="L11" s="61"/>
      <c r="M11" s="61"/>
      <c r="N11" s="180"/>
      <c r="O11" s="173"/>
      <c r="P11" s="61"/>
      <c r="Q11" s="61"/>
      <c r="R11" s="176"/>
      <c r="S11" s="100">
        <f t="shared" si="4"/>
        <v>8647</v>
      </c>
      <c r="T11" s="10">
        <f t="shared" si="0"/>
        <v>3378</v>
      </c>
      <c r="U11" s="10">
        <f t="shared" si="0"/>
        <v>15700</v>
      </c>
      <c r="V11" s="101">
        <f t="shared" si="5"/>
        <v>4.6477205447010066</v>
      </c>
      <c r="W11" s="177">
        <v>6602</v>
      </c>
      <c r="X11" s="60">
        <v>11113</v>
      </c>
      <c r="Y11" s="60">
        <v>12597</v>
      </c>
      <c r="Z11" s="101">
        <f t="shared" si="8"/>
        <v>1.133537298659228</v>
      </c>
      <c r="AA11" s="173"/>
      <c r="AB11" s="61"/>
      <c r="AC11" s="61"/>
      <c r="AD11" s="176"/>
      <c r="AE11" s="100">
        <f t="shared" ref="AE11:AE15" si="10">S11-W11-AA11</f>
        <v>2045</v>
      </c>
      <c r="AF11" s="5"/>
      <c r="AG11" s="5"/>
      <c r="AH11" s="106"/>
      <c r="AI11" s="108">
        <f t="shared" si="7"/>
        <v>8647</v>
      </c>
      <c r="AJ11" s="4">
        <f t="shared" si="1"/>
        <v>11113</v>
      </c>
      <c r="AK11" s="4">
        <f t="shared" si="1"/>
        <v>12597</v>
      </c>
      <c r="AL11" s="103">
        <f t="shared" si="9"/>
        <v>1.133537298659228</v>
      </c>
      <c r="AM11" s="188"/>
      <c r="AN11" s="66"/>
      <c r="AO11" s="67"/>
    </row>
    <row r="12" spans="1:41">
      <c r="A12" s="31" t="s">
        <v>42</v>
      </c>
      <c r="B12" s="168" t="s">
        <v>95</v>
      </c>
      <c r="C12" s="172">
        <v>13418</v>
      </c>
      <c r="D12" s="39">
        <v>14499</v>
      </c>
      <c r="E12" s="39">
        <v>9779</v>
      </c>
      <c r="F12" s="101">
        <f t="shared" si="2"/>
        <v>0.67446030760742115</v>
      </c>
      <c r="G12" s="172">
        <v>11577</v>
      </c>
      <c r="H12" s="39">
        <f>37550-12827</f>
        <v>24723</v>
      </c>
      <c r="I12" s="39">
        <f>29279-6181</f>
        <v>23098</v>
      </c>
      <c r="J12" s="101">
        <f t="shared" si="3"/>
        <v>0.93427173077700931</v>
      </c>
      <c r="K12" s="174"/>
      <c r="L12" s="62">
        <v>1401</v>
      </c>
      <c r="M12" s="62">
        <v>1401</v>
      </c>
      <c r="N12" s="181">
        <f>M12/L12</f>
        <v>1</v>
      </c>
      <c r="O12" s="174"/>
      <c r="P12" s="40"/>
      <c r="Q12" s="40"/>
      <c r="R12" s="175"/>
      <c r="S12" s="100">
        <f t="shared" si="4"/>
        <v>24995</v>
      </c>
      <c r="T12" s="10">
        <f t="shared" si="0"/>
        <v>40623</v>
      </c>
      <c r="U12" s="10">
        <f t="shared" si="0"/>
        <v>34278</v>
      </c>
      <c r="V12" s="101">
        <f t="shared" si="5"/>
        <v>0.84380769514806886</v>
      </c>
      <c r="W12" s="172">
        <v>7137</v>
      </c>
      <c r="X12" s="39">
        <v>12190</v>
      </c>
      <c r="Y12" s="39">
        <f>4479+3784</f>
        <v>8263</v>
      </c>
      <c r="Z12" s="101">
        <f t="shared" si="8"/>
        <v>0.67785069729286296</v>
      </c>
      <c r="AA12" s="172">
        <v>15000</v>
      </c>
      <c r="AB12" s="40"/>
      <c r="AC12" s="40"/>
      <c r="AD12" s="175"/>
      <c r="AE12" s="107">
        <v>2858</v>
      </c>
      <c r="AF12" s="5"/>
      <c r="AG12" s="5"/>
      <c r="AH12" s="106"/>
      <c r="AI12" s="108">
        <f t="shared" si="7"/>
        <v>24995</v>
      </c>
      <c r="AJ12" s="4">
        <f t="shared" si="1"/>
        <v>12190</v>
      </c>
      <c r="AK12" s="4">
        <f t="shared" si="1"/>
        <v>8263</v>
      </c>
      <c r="AL12" s="103">
        <f t="shared" si="9"/>
        <v>0.67785069729286296</v>
      </c>
      <c r="AM12" s="187">
        <v>7</v>
      </c>
      <c r="AN12" s="64"/>
      <c r="AO12" s="65"/>
    </row>
    <row r="13" spans="1:41">
      <c r="A13" s="31" t="s">
        <v>42</v>
      </c>
      <c r="B13" s="170" t="s">
        <v>96</v>
      </c>
      <c r="C13" s="172">
        <v>3481</v>
      </c>
      <c r="D13" s="39">
        <v>3500</v>
      </c>
      <c r="E13" s="39">
        <v>3603</v>
      </c>
      <c r="F13" s="101">
        <f t="shared" si="2"/>
        <v>1.0294285714285714</v>
      </c>
      <c r="G13" s="172">
        <v>3004</v>
      </c>
      <c r="H13" s="39">
        <v>2661</v>
      </c>
      <c r="I13" s="39">
        <v>1743</v>
      </c>
      <c r="J13" s="101">
        <f t="shared" si="3"/>
        <v>0.65501691093573844</v>
      </c>
      <c r="K13" s="174"/>
      <c r="L13" s="62">
        <v>135</v>
      </c>
      <c r="M13" s="62">
        <v>135</v>
      </c>
      <c r="N13" s="181">
        <f>M13/L13</f>
        <v>1</v>
      </c>
      <c r="O13" s="174"/>
      <c r="P13" s="40"/>
      <c r="Q13" s="40"/>
      <c r="R13" s="175"/>
      <c r="S13" s="100">
        <f t="shared" si="4"/>
        <v>6485</v>
      </c>
      <c r="T13" s="10">
        <f t="shared" si="0"/>
        <v>6296</v>
      </c>
      <c r="U13" s="10">
        <f t="shared" si="0"/>
        <v>5481</v>
      </c>
      <c r="V13" s="101">
        <f t="shared" si="5"/>
        <v>0.87055273189326554</v>
      </c>
      <c r="W13" s="172">
        <v>583</v>
      </c>
      <c r="X13" s="39">
        <v>318</v>
      </c>
      <c r="Y13" s="39">
        <v>566</v>
      </c>
      <c r="Z13" s="101">
        <f t="shared" si="8"/>
        <v>1.779874213836478</v>
      </c>
      <c r="AA13" s="172">
        <v>5000</v>
      </c>
      <c r="AB13" s="40"/>
      <c r="AC13" s="40"/>
      <c r="AD13" s="175"/>
      <c r="AE13" s="100">
        <f t="shared" si="10"/>
        <v>902</v>
      </c>
      <c r="AF13" s="5"/>
      <c r="AG13" s="5"/>
      <c r="AH13" s="106"/>
      <c r="AI13" s="108">
        <f t="shared" si="7"/>
        <v>6485</v>
      </c>
      <c r="AJ13" s="4">
        <f t="shared" si="1"/>
        <v>318</v>
      </c>
      <c r="AK13" s="4">
        <f t="shared" si="1"/>
        <v>566</v>
      </c>
      <c r="AL13" s="103">
        <f t="shared" si="9"/>
        <v>1.779874213836478</v>
      </c>
      <c r="AM13" s="187">
        <v>2</v>
      </c>
      <c r="AN13" s="64"/>
      <c r="AO13" s="65"/>
    </row>
    <row r="14" spans="1:41">
      <c r="A14" s="59" t="s">
        <v>42</v>
      </c>
      <c r="B14" s="170" t="s">
        <v>66</v>
      </c>
      <c r="C14" s="174"/>
      <c r="D14" s="40"/>
      <c r="E14" s="40"/>
      <c r="F14" s="175"/>
      <c r="G14" s="172">
        <v>45</v>
      </c>
      <c r="H14" s="39">
        <v>45</v>
      </c>
      <c r="I14" s="39">
        <v>3</v>
      </c>
      <c r="J14" s="101">
        <f t="shared" si="3"/>
        <v>6.6666666666666666E-2</v>
      </c>
      <c r="K14" s="174"/>
      <c r="L14" s="40"/>
      <c r="M14" s="40"/>
      <c r="N14" s="179"/>
      <c r="O14" s="174"/>
      <c r="P14" s="40"/>
      <c r="Q14" s="40"/>
      <c r="R14" s="175"/>
      <c r="S14" s="100">
        <f t="shared" si="4"/>
        <v>45</v>
      </c>
      <c r="T14" s="10">
        <f t="shared" si="0"/>
        <v>45</v>
      </c>
      <c r="U14" s="10">
        <f t="shared" si="0"/>
        <v>3</v>
      </c>
      <c r="V14" s="101">
        <f t="shared" si="5"/>
        <v>6.6666666666666666E-2</v>
      </c>
      <c r="W14" s="174"/>
      <c r="X14" s="40"/>
      <c r="Y14" s="40"/>
      <c r="Z14" s="104"/>
      <c r="AA14" s="174"/>
      <c r="AB14" s="40"/>
      <c r="AC14" s="40"/>
      <c r="AD14" s="175"/>
      <c r="AE14" s="100">
        <f t="shared" si="10"/>
        <v>45</v>
      </c>
      <c r="AF14" s="5"/>
      <c r="AG14" s="5"/>
      <c r="AH14" s="106"/>
      <c r="AI14" s="108">
        <f t="shared" si="7"/>
        <v>45</v>
      </c>
      <c r="AJ14" s="5">
        <f t="shared" si="1"/>
        <v>0</v>
      </c>
      <c r="AK14" s="5">
        <f t="shared" si="1"/>
        <v>0</v>
      </c>
      <c r="AL14" s="104"/>
      <c r="AM14" s="189"/>
      <c r="AN14" s="64"/>
      <c r="AO14" s="65"/>
    </row>
    <row r="15" spans="1:41" s="57" customFormat="1">
      <c r="A15" s="58" t="s">
        <v>43</v>
      </c>
      <c r="B15" s="171" t="s">
        <v>130</v>
      </c>
      <c r="C15" s="173"/>
      <c r="D15" s="61"/>
      <c r="E15" s="61"/>
      <c r="F15" s="176"/>
      <c r="G15" s="177">
        <v>2132</v>
      </c>
      <c r="H15" s="61"/>
      <c r="I15" s="61"/>
      <c r="J15" s="176"/>
      <c r="K15" s="173"/>
      <c r="L15" s="61"/>
      <c r="M15" s="61"/>
      <c r="N15" s="180"/>
      <c r="O15" s="173"/>
      <c r="P15" s="61"/>
      <c r="Q15" s="61"/>
      <c r="R15" s="176"/>
      <c r="S15" s="100">
        <f t="shared" si="4"/>
        <v>2132</v>
      </c>
      <c r="T15" s="5">
        <f t="shared" si="0"/>
        <v>0</v>
      </c>
      <c r="U15" s="5">
        <f t="shared" si="0"/>
        <v>0</v>
      </c>
      <c r="V15" s="104"/>
      <c r="W15" s="177">
        <v>3778</v>
      </c>
      <c r="X15" s="61"/>
      <c r="Y15" s="61"/>
      <c r="Z15" s="104"/>
      <c r="AA15" s="173"/>
      <c r="AB15" s="61"/>
      <c r="AC15" s="61"/>
      <c r="AD15" s="176"/>
      <c r="AE15" s="100">
        <f t="shared" si="10"/>
        <v>-1646</v>
      </c>
      <c r="AF15" s="5"/>
      <c r="AG15" s="5"/>
      <c r="AH15" s="106"/>
      <c r="AI15" s="108">
        <f t="shared" si="7"/>
        <v>2132</v>
      </c>
      <c r="AJ15" s="5">
        <f t="shared" si="1"/>
        <v>0</v>
      </c>
      <c r="AK15" s="5">
        <f t="shared" si="1"/>
        <v>0</v>
      </c>
      <c r="AL15" s="104"/>
      <c r="AM15" s="190"/>
      <c r="AN15" s="66"/>
      <c r="AO15" s="67"/>
    </row>
    <row r="16" spans="1:41">
      <c r="A16" s="59" t="s">
        <v>42</v>
      </c>
      <c r="B16" s="170" t="s">
        <v>97</v>
      </c>
      <c r="C16" s="174"/>
      <c r="D16" s="40"/>
      <c r="E16" s="40"/>
      <c r="F16" s="175"/>
      <c r="G16" s="172">
        <v>12827</v>
      </c>
      <c r="H16" s="62">
        <v>12827</v>
      </c>
      <c r="I16" s="62">
        <v>6181</v>
      </c>
      <c r="J16" s="178">
        <f>I16/H16</f>
        <v>0.48187417166913543</v>
      </c>
      <c r="K16" s="174"/>
      <c r="L16" s="40"/>
      <c r="M16" s="40"/>
      <c r="N16" s="179"/>
      <c r="O16" s="174"/>
      <c r="P16" s="40"/>
      <c r="Q16" s="40"/>
      <c r="R16" s="175"/>
      <c r="S16" s="100">
        <f t="shared" si="4"/>
        <v>12827</v>
      </c>
      <c r="T16" s="10">
        <f t="shared" si="0"/>
        <v>12827</v>
      </c>
      <c r="U16" s="10">
        <f t="shared" si="0"/>
        <v>6181</v>
      </c>
      <c r="V16" s="101">
        <f t="shared" si="5"/>
        <v>0.48187417166913543</v>
      </c>
      <c r="W16" s="172">
        <v>1673</v>
      </c>
      <c r="X16" s="40"/>
      <c r="Y16" s="40"/>
      <c r="Z16" s="104"/>
      <c r="AA16" s="192">
        <v>12000</v>
      </c>
      <c r="AB16" s="40"/>
      <c r="AC16" s="40"/>
      <c r="AD16" s="175"/>
      <c r="AE16" s="100">
        <v>-846</v>
      </c>
      <c r="AF16" s="5"/>
      <c r="AG16" s="5"/>
      <c r="AH16" s="106"/>
      <c r="AI16" s="108">
        <f t="shared" si="7"/>
        <v>12827</v>
      </c>
      <c r="AJ16" s="5">
        <f t="shared" si="1"/>
        <v>0</v>
      </c>
      <c r="AK16" s="5">
        <f t="shared" si="1"/>
        <v>0</v>
      </c>
      <c r="AL16" s="104"/>
      <c r="AM16" s="189"/>
      <c r="AN16" s="64"/>
      <c r="AO16" s="65"/>
    </row>
    <row r="17" spans="1:41">
      <c r="A17" s="59" t="s">
        <v>43</v>
      </c>
      <c r="B17" s="170" t="s">
        <v>128</v>
      </c>
      <c r="C17" s="174"/>
      <c r="D17" s="40"/>
      <c r="E17" s="40"/>
      <c r="F17" s="175"/>
      <c r="G17" s="174"/>
      <c r="H17" s="39">
        <v>40</v>
      </c>
      <c r="I17" s="39">
        <v>51</v>
      </c>
      <c r="J17" s="178">
        <f>I17/H17</f>
        <v>1.2749999999999999</v>
      </c>
      <c r="K17" s="174"/>
      <c r="L17" s="40"/>
      <c r="M17" s="40"/>
      <c r="N17" s="179"/>
      <c r="O17" s="174"/>
      <c r="P17" s="40"/>
      <c r="Q17" s="40"/>
      <c r="R17" s="175"/>
      <c r="S17" s="102">
        <f t="shared" ref="S17" si="11">C17+G17+K17+O17</f>
        <v>0</v>
      </c>
      <c r="T17" s="10">
        <f t="shared" ref="T17" si="12">D17+H17+L17+P17</f>
        <v>40</v>
      </c>
      <c r="U17" s="10">
        <f t="shared" ref="U17" si="13">E17+I17+M17+Q17</f>
        <v>51</v>
      </c>
      <c r="V17" s="101">
        <f t="shared" si="5"/>
        <v>1.2749999999999999</v>
      </c>
      <c r="W17" s="174"/>
      <c r="X17" s="40"/>
      <c r="Y17" s="39">
        <v>249</v>
      </c>
      <c r="Z17" s="104"/>
      <c r="AA17" s="174"/>
      <c r="AB17" s="40"/>
      <c r="AC17" s="40"/>
      <c r="AD17" s="175"/>
      <c r="AE17" s="102"/>
      <c r="AF17" s="5"/>
      <c r="AG17" s="5"/>
      <c r="AH17" s="106"/>
      <c r="AI17" s="102">
        <f t="shared" ref="AI17:AI18" si="14">W17+AA17+AE17</f>
        <v>0</v>
      </c>
      <c r="AJ17" s="5">
        <f t="shared" ref="AJ17:AJ18" si="15">X17+AB17+AF17</f>
        <v>0</v>
      </c>
      <c r="AK17" s="4">
        <f t="shared" ref="AK17:AK18" si="16">Y17+AC17+AG17</f>
        <v>249</v>
      </c>
      <c r="AL17" s="104"/>
      <c r="AM17" s="189"/>
      <c r="AN17" s="64"/>
      <c r="AO17" s="65"/>
    </row>
    <row r="18" spans="1:41">
      <c r="A18" s="59" t="s">
        <v>42</v>
      </c>
      <c r="B18" s="170" t="s">
        <v>107</v>
      </c>
      <c r="C18" s="174"/>
      <c r="D18" s="40"/>
      <c r="E18" s="40"/>
      <c r="F18" s="175"/>
      <c r="G18" s="174"/>
      <c r="H18" s="40"/>
      <c r="I18" s="40"/>
      <c r="J18" s="175"/>
      <c r="K18" s="174"/>
      <c r="L18" s="40"/>
      <c r="M18" s="40"/>
      <c r="N18" s="179"/>
      <c r="O18" s="174"/>
      <c r="P18" s="40"/>
      <c r="Q18" s="40"/>
      <c r="R18" s="175"/>
      <c r="S18" s="102"/>
      <c r="T18" s="5"/>
      <c r="U18" s="5"/>
      <c r="V18" s="104"/>
      <c r="W18" s="174"/>
      <c r="X18" s="40"/>
      <c r="Y18" s="40"/>
      <c r="Z18" s="104"/>
      <c r="AA18" s="174"/>
      <c r="AB18" s="40"/>
      <c r="AC18" s="40"/>
      <c r="AD18" s="175"/>
      <c r="AE18" s="102"/>
      <c r="AF18" s="10">
        <f>72966+11326</f>
        <v>84292</v>
      </c>
      <c r="AG18" s="10">
        <f>76982+11326</f>
        <v>88308</v>
      </c>
      <c r="AH18" s="101">
        <f>AG18/AF18</f>
        <v>1.0476439045223747</v>
      </c>
      <c r="AI18" s="102">
        <f t="shared" si="14"/>
        <v>0</v>
      </c>
      <c r="AJ18" s="4">
        <f t="shared" si="15"/>
        <v>84292</v>
      </c>
      <c r="AK18" s="4">
        <f t="shared" si="16"/>
        <v>88308</v>
      </c>
      <c r="AL18" s="103">
        <f t="shared" si="9"/>
        <v>1.0476439045223747</v>
      </c>
      <c r="AM18" s="189"/>
      <c r="AN18" s="64"/>
      <c r="AO18" s="65"/>
    </row>
    <row r="19" spans="1:41" s="29" customFormat="1" ht="15.75" thickBot="1">
      <c r="A19" s="506" t="s">
        <v>18</v>
      </c>
      <c r="B19" s="507"/>
      <c r="C19" s="140">
        <f>SUM(C7:C16)</f>
        <v>37814</v>
      </c>
      <c r="D19" s="141">
        <f t="shared" ref="D19:E19" si="17">SUM(D7:D16)</f>
        <v>46185</v>
      </c>
      <c r="E19" s="141">
        <f t="shared" si="17"/>
        <v>46185</v>
      </c>
      <c r="F19" s="143">
        <f>E19/D19</f>
        <v>1</v>
      </c>
      <c r="G19" s="140">
        <f>SUM(G7:G16)</f>
        <v>51500</v>
      </c>
      <c r="H19" s="141">
        <f>SUM(H7:H17)</f>
        <v>59104</v>
      </c>
      <c r="I19" s="141">
        <f>SUM(I7:I17)</f>
        <v>55975</v>
      </c>
      <c r="J19" s="143">
        <f>I19/H19</f>
        <v>0.94705942068218729</v>
      </c>
      <c r="K19" s="140">
        <f>SUM(K7:K16)</f>
        <v>0</v>
      </c>
      <c r="L19" s="141">
        <f t="shared" ref="L19:M19" si="18">SUM(L7:L16)</f>
        <v>1579</v>
      </c>
      <c r="M19" s="141">
        <f t="shared" si="18"/>
        <v>1579</v>
      </c>
      <c r="N19" s="143">
        <f>M19/L19</f>
        <v>1</v>
      </c>
      <c r="O19" s="182">
        <f>SUM(O7:O16)</f>
        <v>0</v>
      </c>
      <c r="P19" s="183">
        <f t="shared" ref="P19:Q19" si="19">SUM(P7:P16)</f>
        <v>6517</v>
      </c>
      <c r="Q19" s="183">
        <f t="shared" si="19"/>
        <v>6464</v>
      </c>
      <c r="R19" s="184">
        <f>Q19/P19</f>
        <v>0.99186742366119385</v>
      </c>
      <c r="S19" s="140">
        <f>SUM(S7:S16)</f>
        <v>89314</v>
      </c>
      <c r="T19" s="141">
        <f>SUM(T7:T17)</f>
        <v>113385</v>
      </c>
      <c r="U19" s="141">
        <f>SUM(U7:U17)</f>
        <v>110203</v>
      </c>
      <c r="V19" s="185">
        <f t="shared" si="5"/>
        <v>0.97193632314680067</v>
      </c>
      <c r="W19" s="140">
        <f>SUM(W7:W16)</f>
        <v>25912</v>
      </c>
      <c r="X19" s="141">
        <f t="shared" ref="X19" si="20">SUM(X7:X16)</f>
        <v>29093</v>
      </c>
      <c r="Y19" s="141">
        <f>SUM(Y7:Y18)</f>
        <v>32838</v>
      </c>
      <c r="Z19" s="185">
        <f t="shared" si="8"/>
        <v>1.1287251228817929</v>
      </c>
      <c r="AA19" s="140">
        <f>SUM(AA7:AA16)</f>
        <v>41617</v>
      </c>
      <c r="AB19" s="141">
        <f t="shared" ref="AB19:AC19" si="21">SUM(AB7:AB16)</f>
        <v>0</v>
      </c>
      <c r="AC19" s="141">
        <f t="shared" si="21"/>
        <v>0</v>
      </c>
      <c r="AD19" s="142"/>
      <c r="AE19" s="140">
        <f>SUM(AE7:AE16)</f>
        <v>21785</v>
      </c>
      <c r="AF19" s="141">
        <f>SUM(AF7:AF18)</f>
        <v>84292</v>
      </c>
      <c r="AG19" s="141">
        <f>SUM(AG7:AG18)</f>
        <v>88308</v>
      </c>
      <c r="AH19" s="143">
        <f>AG19/AF19</f>
        <v>1.0476439045223747</v>
      </c>
      <c r="AI19" s="140">
        <f>SUM(AI7:AI18)</f>
        <v>89314</v>
      </c>
      <c r="AJ19" s="141">
        <f t="shared" ref="AJ19" si="22">SUM(AJ7:AJ18)</f>
        <v>113385</v>
      </c>
      <c r="AK19" s="141">
        <f>SUM(AK7:AK18)</f>
        <v>121146</v>
      </c>
      <c r="AL19" s="191">
        <f t="shared" si="9"/>
        <v>1.0684482074348458</v>
      </c>
      <c r="AM19" s="164">
        <f>SUM(AM7:AM16)</f>
        <v>22</v>
      </c>
      <c r="AN19" s="76">
        <f>SUM(AN7:AN16)</f>
        <v>1</v>
      </c>
      <c r="AO19" s="165"/>
    </row>
    <row r="21" spans="1:41">
      <c r="B21" s="13" t="str">
        <f>Tartalomjegyzék!A20</f>
        <v>Cibakháza, 2016. május 31.</v>
      </c>
    </row>
  </sheetData>
  <mergeCells count="22">
    <mergeCell ref="W5:Z5"/>
    <mergeCell ref="AA5:AD5"/>
    <mergeCell ref="AE5:AH5"/>
    <mergeCell ref="A3:AL3"/>
    <mergeCell ref="W4:AL4"/>
    <mergeCell ref="AI5:AL5"/>
    <mergeCell ref="A19:B19"/>
    <mergeCell ref="A2:AO2"/>
    <mergeCell ref="AM1:AO1"/>
    <mergeCell ref="A4:B4"/>
    <mergeCell ref="AM4:AO4"/>
    <mergeCell ref="C5:F5"/>
    <mergeCell ref="A5:A6"/>
    <mergeCell ref="B5:B6"/>
    <mergeCell ref="G5:J5"/>
    <mergeCell ref="K5:N5"/>
    <mergeCell ref="O5:R5"/>
    <mergeCell ref="S5:V5"/>
    <mergeCell ref="C4:V4"/>
    <mergeCell ref="AM5:AM6"/>
    <mergeCell ref="AN5:AN6"/>
    <mergeCell ref="AO5:AO6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pane ySplit="5" topLeftCell="A51" activePane="bottomLeft" state="frozen"/>
      <selection sqref="A1:I1"/>
      <selection pane="bottomLeft" activeCell="D63" sqref="D63"/>
    </sheetView>
  </sheetViews>
  <sheetFormatPr defaultRowHeight="15"/>
  <cols>
    <col min="1" max="1" width="8.140625" style="287" customWidth="1"/>
    <col min="2" max="2" width="82" style="287" customWidth="1"/>
    <col min="3" max="7" width="19.140625" style="287" customWidth="1"/>
    <col min="8" max="256" width="9.140625" style="287"/>
    <col min="257" max="257" width="8.140625" style="287" customWidth="1"/>
    <col min="258" max="258" width="82" style="287" customWidth="1"/>
    <col min="259" max="263" width="19.140625" style="287" customWidth="1"/>
    <col min="264" max="512" width="9.140625" style="287"/>
    <col min="513" max="513" width="8.140625" style="287" customWidth="1"/>
    <col min="514" max="514" width="82" style="287" customWidth="1"/>
    <col min="515" max="519" width="19.140625" style="287" customWidth="1"/>
    <col min="520" max="768" width="9.140625" style="287"/>
    <col min="769" max="769" width="8.140625" style="287" customWidth="1"/>
    <col min="770" max="770" width="82" style="287" customWidth="1"/>
    <col min="771" max="775" width="19.140625" style="287" customWidth="1"/>
    <col min="776" max="1024" width="9.140625" style="287"/>
    <col min="1025" max="1025" width="8.140625" style="287" customWidth="1"/>
    <col min="1026" max="1026" width="82" style="287" customWidth="1"/>
    <col min="1027" max="1031" width="19.140625" style="287" customWidth="1"/>
    <col min="1032" max="1280" width="9.140625" style="287"/>
    <col min="1281" max="1281" width="8.140625" style="287" customWidth="1"/>
    <col min="1282" max="1282" width="82" style="287" customWidth="1"/>
    <col min="1283" max="1287" width="19.140625" style="287" customWidth="1"/>
    <col min="1288" max="1536" width="9.140625" style="287"/>
    <col min="1537" max="1537" width="8.140625" style="287" customWidth="1"/>
    <col min="1538" max="1538" width="82" style="287" customWidth="1"/>
    <col min="1539" max="1543" width="19.140625" style="287" customWidth="1"/>
    <col min="1544" max="1792" width="9.140625" style="287"/>
    <col min="1793" max="1793" width="8.140625" style="287" customWidth="1"/>
    <col min="1794" max="1794" width="82" style="287" customWidth="1"/>
    <col min="1795" max="1799" width="19.140625" style="287" customWidth="1"/>
    <col min="1800" max="2048" width="9.140625" style="287"/>
    <col min="2049" max="2049" width="8.140625" style="287" customWidth="1"/>
    <col min="2050" max="2050" width="82" style="287" customWidth="1"/>
    <col min="2051" max="2055" width="19.140625" style="287" customWidth="1"/>
    <col min="2056" max="2304" width="9.140625" style="287"/>
    <col min="2305" max="2305" width="8.140625" style="287" customWidth="1"/>
    <col min="2306" max="2306" width="82" style="287" customWidth="1"/>
    <col min="2307" max="2311" width="19.140625" style="287" customWidth="1"/>
    <col min="2312" max="2560" width="9.140625" style="287"/>
    <col min="2561" max="2561" width="8.140625" style="287" customWidth="1"/>
    <col min="2562" max="2562" width="82" style="287" customWidth="1"/>
    <col min="2563" max="2567" width="19.140625" style="287" customWidth="1"/>
    <col min="2568" max="2816" width="9.140625" style="287"/>
    <col min="2817" max="2817" width="8.140625" style="287" customWidth="1"/>
    <col min="2818" max="2818" width="82" style="287" customWidth="1"/>
    <col min="2819" max="2823" width="19.140625" style="287" customWidth="1"/>
    <col min="2824" max="3072" width="9.140625" style="287"/>
    <col min="3073" max="3073" width="8.140625" style="287" customWidth="1"/>
    <col min="3074" max="3074" width="82" style="287" customWidth="1"/>
    <col min="3075" max="3079" width="19.140625" style="287" customWidth="1"/>
    <col min="3080" max="3328" width="9.140625" style="287"/>
    <col min="3329" max="3329" width="8.140625" style="287" customWidth="1"/>
    <col min="3330" max="3330" width="82" style="287" customWidth="1"/>
    <col min="3331" max="3335" width="19.140625" style="287" customWidth="1"/>
    <col min="3336" max="3584" width="9.140625" style="287"/>
    <col min="3585" max="3585" width="8.140625" style="287" customWidth="1"/>
    <col min="3586" max="3586" width="82" style="287" customWidth="1"/>
    <col min="3587" max="3591" width="19.140625" style="287" customWidth="1"/>
    <col min="3592" max="3840" width="9.140625" style="287"/>
    <col min="3841" max="3841" width="8.140625" style="287" customWidth="1"/>
    <col min="3842" max="3842" width="82" style="287" customWidth="1"/>
    <col min="3843" max="3847" width="19.140625" style="287" customWidth="1"/>
    <col min="3848" max="4096" width="9.140625" style="287"/>
    <col min="4097" max="4097" width="8.140625" style="287" customWidth="1"/>
    <col min="4098" max="4098" width="82" style="287" customWidth="1"/>
    <col min="4099" max="4103" width="19.140625" style="287" customWidth="1"/>
    <col min="4104" max="4352" width="9.140625" style="287"/>
    <col min="4353" max="4353" width="8.140625" style="287" customWidth="1"/>
    <col min="4354" max="4354" width="82" style="287" customWidth="1"/>
    <col min="4355" max="4359" width="19.140625" style="287" customWidth="1"/>
    <col min="4360" max="4608" width="9.140625" style="287"/>
    <col min="4609" max="4609" width="8.140625" style="287" customWidth="1"/>
    <col min="4610" max="4610" width="82" style="287" customWidth="1"/>
    <col min="4611" max="4615" width="19.140625" style="287" customWidth="1"/>
    <col min="4616" max="4864" width="9.140625" style="287"/>
    <col min="4865" max="4865" width="8.140625" style="287" customWidth="1"/>
    <col min="4866" max="4866" width="82" style="287" customWidth="1"/>
    <col min="4867" max="4871" width="19.140625" style="287" customWidth="1"/>
    <col min="4872" max="5120" width="9.140625" style="287"/>
    <col min="5121" max="5121" width="8.140625" style="287" customWidth="1"/>
    <col min="5122" max="5122" width="82" style="287" customWidth="1"/>
    <col min="5123" max="5127" width="19.140625" style="287" customWidth="1"/>
    <col min="5128" max="5376" width="9.140625" style="287"/>
    <col min="5377" max="5377" width="8.140625" style="287" customWidth="1"/>
    <col min="5378" max="5378" width="82" style="287" customWidth="1"/>
    <col min="5379" max="5383" width="19.140625" style="287" customWidth="1"/>
    <col min="5384" max="5632" width="9.140625" style="287"/>
    <col min="5633" max="5633" width="8.140625" style="287" customWidth="1"/>
    <col min="5634" max="5634" width="82" style="287" customWidth="1"/>
    <col min="5635" max="5639" width="19.140625" style="287" customWidth="1"/>
    <col min="5640" max="5888" width="9.140625" style="287"/>
    <col min="5889" max="5889" width="8.140625" style="287" customWidth="1"/>
    <col min="5890" max="5890" width="82" style="287" customWidth="1"/>
    <col min="5891" max="5895" width="19.140625" style="287" customWidth="1"/>
    <col min="5896" max="6144" width="9.140625" style="287"/>
    <col min="6145" max="6145" width="8.140625" style="287" customWidth="1"/>
    <col min="6146" max="6146" width="82" style="287" customWidth="1"/>
    <col min="6147" max="6151" width="19.140625" style="287" customWidth="1"/>
    <col min="6152" max="6400" width="9.140625" style="287"/>
    <col min="6401" max="6401" width="8.140625" style="287" customWidth="1"/>
    <col min="6402" max="6402" width="82" style="287" customWidth="1"/>
    <col min="6403" max="6407" width="19.140625" style="287" customWidth="1"/>
    <col min="6408" max="6656" width="9.140625" style="287"/>
    <col min="6657" max="6657" width="8.140625" style="287" customWidth="1"/>
    <col min="6658" max="6658" width="82" style="287" customWidth="1"/>
    <col min="6659" max="6663" width="19.140625" style="287" customWidth="1"/>
    <col min="6664" max="6912" width="9.140625" style="287"/>
    <col min="6913" max="6913" width="8.140625" style="287" customWidth="1"/>
    <col min="6914" max="6914" width="82" style="287" customWidth="1"/>
    <col min="6915" max="6919" width="19.140625" style="287" customWidth="1"/>
    <col min="6920" max="7168" width="9.140625" style="287"/>
    <col min="7169" max="7169" width="8.140625" style="287" customWidth="1"/>
    <col min="7170" max="7170" width="82" style="287" customWidth="1"/>
    <col min="7171" max="7175" width="19.140625" style="287" customWidth="1"/>
    <col min="7176" max="7424" width="9.140625" style="287"/>
    <col min="7425" max="7425" width="8.140625" style="287" customWidth="1"/>
    <col min="7426" max="7426" width="82" style="287" customWidth="1"/>
    <col min="7427" max="7431" width="19.140625" style="287" customWidth="1"/>
    <col min="7432" max="7680" width="9.140625" style="287"/>
    <col min="7681" max="7681" width="8.140625" style="287" customWidth="1"/>
    <col min="7682" max="7682" width="82" style="287" customWidth="1"/>
    <col min="7683" max="7687" width="19.140625" style="287" customWidth="1"/>
    <col min="7688" max="7936" width="9.140625" style="287"/>
    <col min="7937" max="7937" width="8.140625" style="287" customWidth="1"/>
    <col min="7938" max="7938" width="82" style="287" customWidth="1"/>
    <col min="7939" max="7943" width="19.140625" style="287" customWidth="1"/>
    <col min="7944" max="8192" width="9.140625" style="287"/>
    <col min="8193" max="8193" width="8.140625" style="287" customWidth="1"/>
    <col min="8194" max="8194" width="82" style="287" customWidth="1"/>
    <col min="8195" max="8199" width="19.140625" style="287" customWidth="1"/>
    <col min="8200" max="8448" width="9.140625" style="287"/>
    <col min="8449" max="8449" width="8.140625" style="287" customWidth="1"/>
    <col min="8450" max="8450" width="82" style="287" customWidth="1"/>
    <col min="8451" max="8455" width="19.140625" style="287" customWidth="1"/>
    <col min="8456" max="8704" width="9.140625" style="287"/>
    <col min="8705" max="8705" width="8.140625" style="287" customWidth="1"/>
    <col min="8706" max="8706" width="82" style="287" customWidth="1"/>
    <col min="8707" max="8711" width="19.140625" style="287" customWidth="1"/>
    <col min="8712" max="8960" width="9.140625" style="287"/>
    <col min="8961" max="8961" width="8.140625" style="287" customWidth="1"/>
    <col min="8962" max="8962" width="82" style="287" customWidth="1"/>
    <col min="8963" max="8967" width="19.140625" style="287" customWidth="1"/>
    <col min="8968" max="9216" width="9.140625" style="287"/>
    <col min="9217" max="9217" width="8.140625" style="287" customWidth="1"/>
    <col min="9218" max="9218" width="82" style="287" customWidth="1"/>
    <col min="9219" max="9223" width="19.140625" style="287" customWidth="1"/>
    <col min="9224" max="9472" width="9.140625" style="287"/>
    <col min="9473" max="9473" width="8.140625" style="287" customWidth="1"/>
    <col min="9474" max="9474" width="82" style="287" customWidth="1"/>
    <col min="9475" max="9479" width="19.140625" style="287" customWidth="1"/>
    <col min="9480" max="9728" width="9.140625" style="287"/>
    <col min="9729" max="9729" width="8.140625" style="287" customWidth="1"/>
    <col min="9730" max="9730" width="82" style="287" customWidth="1"/>
    <col min="9731" max="9735" width="19.140625" style="287" customWidth="1"/>
    <col min="9736" max="9984" width="9.140625" style="287"/>
    <col min="9985" max="9985" width="8.140625" style="287" customWidth="1"/>
    <col min="9986" max="9986" width="82" style="287" customWidth="1"/>
    <col min="9987" max="9991" width="19.140625" style="287" customWidth="1"/>
    <col min="9992" max="10240" width="9.140625" style="287"/>
    <col min="10241" max="10241" width="8.140625" style="287" customWidth="1"/>
    <col min="10242" max="10242" width="82" style="287" customWidth="1"/>
    <col min="10243" max="10247" width="19.140625" style="287" customWidth="1"/>
    <col min="10248" max="10496" width="9.140625" style="287"/>
    <col min="10497" max="10497" width="8.140625" style="287" customWidth="1"/>
    <col min="10498" max="10498" width="82" style="287" customWidth="1"/>
    <col min="10499" max="10503" width="19.140625" style="287" customWidth="1"/>
    <col min="10504" max="10752" width="9.140625" style="287"/>
    <col min="10753" max="10753" width="8.140625" style="287" customWidth="1"/>
    <col min="10754" max="10754" width="82" style="287" customWidth="1"/>
    <col min="10755" max="10759" width="19.140625" style="287" customWidth="1"/>
    <col min="10760" max="11008" width="9.140625" style="287"/>
    <col min="11009" max="11009" width="8.140625" style="287" customWidth="1"/>
    <col min="11010" max="11010" width="82" style="287" customWidth="1"/>
    <col min="11011" max="11015" width="19.140625" style="287" customWidth="1"/>
    <col min="11016" max="11264" width="9.140625" style="287"/>
    <col min="11265" max="11265" width="8.140625" style="287" customWidth="1"/>
    <col min="11266" max="11266" width="82" style="287" customWidth="1"/>
    <col min="11267" max="11271" width="19.140625" style="287" customWidth="1"/>
    <col min="11272" max="11520" width="9.140625" style="287"/>
    <col min="11521" max="11521" width="8.140625" style="287" customWidth="1"/>
    <col min="11522" max="11522" width="82" style="287" customWidth="1"/>
    <col min="11523" max="11527" width="19.140625" style="287" customWidth="1"/>
    <col min="11528" max="11776" width="9.140625" style="287"/>
    <col min="11777" max="11777" width="8.140625" style="287" customWidth="1"/>
    <col min="11778" max="11778" width="82" style="287" customWidth="1"/>
    <col min="11779" max="11783" width="19.140625" style="287" customWidth="1"/>
    <col min="11784" max="12032" width="9.140625" style="287"/>
    <col min="12033" max="12033" width="8.140625" style="287" customWidth="1"/>
    <col min="12034" max="12034" width="82" style="287" customWidth="1"/>
    <col min="12035" max="12039" width="19.140625" style="287" customWidth="1"/>
    <col min="12040" max="12288" width="9.140625" style="287"/>
    <col min="12289" max="12289" width="8.140625" style="287" customWidth="1"/>
    <col min="12290" max="12290" width="82" style="287" customWidth="1"/>
    <col min="12291" max="12295" width="19.140625" style="287" customWidth="1"/>
    <col min="12296" max="12544" width="9.140625" style="287"/>
    <col min="12545" max="12545" width="8.140625" style="287" customWidth="1"/>
    <col min="12546" max="12546" width="82" style="287" customWidth="1"/>
    <col min="12547" max="12551" width="19.140625" style="287" customWidth="1"/>
    <col min="12552" max="12800" width="9.140625" style="287"/>
    <col min="12801" max="12801" width="8.140625" style="287" customWidth="1"/>
    <col min="12802" max="12802" width="82" style="287" customWidth="1"/>
    <col min="12803" max="12807" width="19.140625" style="287" customWidth="1"/>
    <col min="12808" max="13056" width="9.140625" style="287"/>
    <col min="13057" max="13057" width="8.140625" style="287" customWidth="1"/>
    <col min="13058" max="13058" width="82" style="287" customWidth="1"/>
    <col min="13059" max="13063" width="19.140625" style="287" customWidth="1"/>
    <col min="13064" max="13312" width="9.140625" style="287"/>
    <col min="13313" max="13313" width="8.140625" style="287" customWidth="1"/>
    <col min="13314" max="13314" width="82" style="287" customWidth="1"/>
    <col min="13315" max="13319" width="19.140625" style="287" customWidth="1"/>
    <col min="13320" max="13568" width="9.140625" style="287"/>
    <col min="13569" max="13569" width="8.140625" style="287" customWidth="1"/>
    <col min="13570" max="13570" width="82" style="287" customWidth="1"/>
    <col min="13571" max="13575" width="19.140625" style="287" customWidth="1"/>
    <col min="13576" max="13824" width="9.140625" style="287"/>
    <col min="13825" max="13825" width="8.140625" style="287" customWidth="1"/>
    <col min="13826" max="13826" width="82" style="287" customWidth="1"/>
    <col min="13827" max="13831" width="19.140625" style="287" customWidth="1"/>
    <col min="13832" max="14080" width="9.140625" style="287"/>
    <col min="14081" max="14081" width="8.140625" style="287" customWidth="1"/>
    <col min="14082" max="14082" width="82" style="287" customWidth="1"/>
    <col min="14083" max="14087" width="19.140625" style="287" customWidth="1"/>
    <col min="14088" max="14336" width="9.140625" style="287"/>
    <col min="14337" max="14337" width="8.140625" style="287" customWidth="1"/>
    <col min="14338" max="14338" width="82" style="287" customWidth="1"/>
    <col min="14339" max="14343" width="19.140625" style="287" customWidth="1"/>
    <col min="14344" max="14592" width="9.140625" style="287"/>
    <col min="14593" max="14593" width="8.140625" style="287" customWidth="1"/>
    <col min="14594" max="14594" width="82" style="287" customWidth="1"/>
    <col min="14595" max="14599" width="19.140625" style="287" customWidth="1"/>
    <col min="14600" max="14848" width="9.140625" style="287"/>
    <col min="14849" max="14849" width="8.140625" style="287" customWidth="1"/>
    <col min="14850" max="14850" width="82" style="287" customWidth="1"/>
    <col min="14851" max="14855" width="19.140625" style="287" customWidth="1"/>
    <col min="14856" max="15104" width="9.140625" style="287"/>
    <col min="15105" max="15105" width="8.140625" style="287" customWidth="1"/>
    <col min="15106" max="15106" width="82" style="287" customWidth="1"/>
    <col min="15107" max="15111" width="19.140625" style="287" customWidth="1"/>
    <col min="15112" max="15360" width="9.140625" style="287"/>
    <col min="15361" max="15361" width="8.140625" style="287" customWidth="1"/>
    <col min="15362" max="15362" width="82" style="287" customWidth="1"/>
    <col min="15363" max="15367" width="19.140625" style="287" customWidth="1"/>
    <col min="15368" max="15616" width="9.140625" style="287"/>
    <col min="15617" max="15617" width="8.140625" style="287" customWidth="1"/>
    <col min="15618" max="15618" width="82" style="287" customWidth="1"/>
    <col min="15619" max="15623" width="19.140625" style="287" customWidth="1"/>
    <col min="15624" max="15872" width="9.140625" style="287"/>
    <col min="15873" max="15873" width="8.140625" style="287" customWidth="1"/>
    <col min="15874" max="15874" width="82" style="287" customWidth="1"/>
    <col min="15875" max="15879" width="19.140625" style="287" customWidth="1"/>
    <col min="15880" max="16128" width="9.140625" style="287"/>
    <col min="16129" max="16129" width="8.140625" style="287" customWidth="1"/>
    <col min="16130" max="16130" width="82" style="287" customWidth="1"/>
    <col min="16131" max="16135" width="19.140625" style="287" customWidth="1"/>
    <col min="16136" max="16384" width="9.140625" style="287"/>
  </cols>
  <sheetData>
    <row r="1" spans="1:7">
      <c r="G1" s="287" t="s">
        <v>509</v>
      </c>
    </row>
    <row r="3" spans="1:7">
      <c r="A3" s="511" t="s">
        <v>414</v>
      </c>
      <c r="B3" s="512"/>
      <c r="C3" s="512"/>
      <c r="D3" s="512"/>
      <c r="E3" s="512"/>
      <c r="F3" s="512"/>
      <c r="G3" s="512"/>
    </row>
    <row r="4" spans="1:7" ht="45">
      <c r="A4" s="279" t="s">
        <v>141</v>
      </c>
      <c r="B4" s="279" t="s">
        <v>79</v>
      </c>
      <c r="C4" s="279" t="s">
        <v>269</v>
      </c>
      <c r="D4" s="279" t="s">
        <v>270</v>
      </c>
      <c r="E4" s="279" t="s">
        <v>415</v>
      </c>
      <c r="F4" s="279" t="s">
        <v>416</v>
      </c>
      <c r="G4" s="279" t="s">
        <v>102</v>
      </c>
    </row>
    <row r="5" spans="1:7">
      <c r="A5" s="279">
        <v>2</v>
      </c>
      <c r="B5" s="279">
        <v>3</v>
      </c>
      <c r="C5" s="279">
        <v>4</v>
      </c>
      <c r="D5" s="279">
        <v>5</v>
      </c>
      <c r="E5" s="279">
        <v>6</v>
      </c>
      <c r="F5" s="279">
        <v>7</v>
      </c>
      <c r="G5" s="279">
        <v>8</v>
      </c>
    </row>
    <row r="6" spans="1:7">
      <c r="A6" s="279" t="s">
        <v>143</v>
      </c>
      <c r="B6" s="288" t="s">
        <v>417</v>
      </c>
      <c r="C6" s="289">
        <v>108217</v>
      </c>
      <c r="D6" s="289">
        <v>111326</v>
      </c>
      <c r="E6" s="289">
        <v>111326</v>
      </c>
      <c r="F6" s="289">
        <v>0</v>
      </c>
      <c r="G6" s="289">
        <v>111326</v>
      </c>
    </row>
    <row r="7" spans="1:7">
      <c r="A7" s="279" t="s">
        <v>145</v>
      </c>
      <c r="B7" s="288" t="s">
        <v>418</v>
      </c>
      <c r="C7" s="289">
        <v>58197</v>
      </c>
      <c r="D7" s="289">
        <v>62273</v>
      </c>
      <c r="E7" s="289">
        <v>62273</v>
      </c>
      <c r="F7" s="289">
        <v>0</v>
      </c>
      <c r="G7" s="289">
        <v>62273</v>
      </c>
    </row>
    <row r="8" spans="1:7" ht="30">
      <c r="A8" s="279" t="s">
        <v>147</v>
      </c>
      <c r="B8" s="288" t="s">
        <v>419</v>
      </c>
      <c r="C8" s="289">
        <v>159775</v>
      </c>
      <c r="D8" s="289">
        <v>189422</v>
      </c>
      <c r="E8" s="289">
        <v>189422</v>
      </c>
      <c r="F8" s="289">
        <v>0</v>
      </c>
      <c r="G8" s="289">
        <v>189422</v>
      </c>
    </row>
    <row r="9" spans="1:7">
      <c r="A9" s="279" t="s">
        <v>149</v>
      </c>
      <c r="B9" s="288" t="s">
        <v>420</v>
      </c>
      <c r="C9" s="289">
        <v>4883</v>
      </c>
      <c r="D9" s="289">
        <v>4883</v>
      </c>
      <c r="E9" s="289">
        <v>4883</v>
      </c>
      <c r="F9" s="289">
        <v>0</v>
      </c>
      <c r="G9" s="289">
        <v>4883</v>
      </c>
    </row>
    <row r="10" spans="1:7">
      <c r="A10" s="279" t="s">
        <v>151</v>
      </c>
      <c r="B10" s="288" t="s">
        <v>421</v>
      </c>
      <c r="C10" s="289">
        <v>31378</v>
      </c>
      <c r="D10" s="289">
        <v>33613</v>
      </c>
      <c r="E10" s="289">
        <v>33613</v>
      </c>
      <c r="F10" s="289">
        <v>0</v>
      </c>
      <c r="G10" s="289">
        <v>33613</v>
      </c>
    </row>
    <row r="11" spans="1:7">
      <c r="A11" s="279" t="s">
        <v>153</v>
      </c>
      <c r="B11" s="288" t="s">
        <v>422</v>
      </c>
      <c r="C11" s="289">
        <v>3456</v>
      </c>
      <c r="D11" s="289">
        <v>4956</v>
      </c>
      <c r="E11" s="289">
        <v>4956</v>
      </c>
      <c r="F11" s="289">
        <v>0</v>
      </c>
      <c r="G11" s="289">
        <v>4956</v>
      </c>
    </row>
    <row r="12" spans="1:7">
      <c r="A12" s="290" t="s">
        <v>155</v>
      </c>
      <c r="B12" s="291" t="s">
        <v>423</v>
      </c>
      <c r="C12" s="292">
        <v>365906</v>
      </c>
      <c r="D12" s="292">
        <v>406473</v>
      </c>
      <c r="E12" s="292">
        <v>406473</v>
      </c>
      <c r="F12" s="292">
        <v>0</v>
      </c>
      <c r="G12" s="292">
        <v>406473</v>
      </c>
    </row>
    <row r="13" spans="1:7" ht="30">
      <c r="A13" s="279" t="s">
        <v>307</v>
      </c>
      <c r="B13" s="288" t="s">
        <v>424</v>
      </c>
      <c r="C13" s="289">
        <v>223133</v>
      </c>
      <c r="D13" s="289">
        <v>179902</v>
      </c>
      <c r="E13" s="289">
        <v>189031</v>
      </c>
      <c r="F13" s="289">
        <v>0</v>
      </c>
      <c r="G13" s="289">
        <v>189031</v>
      </c>
    </row>
    <row r="14" spans="1:7">
      <c r="A14" s="279" t="s">
        <v>318</v>
      </c>
      <c r="B14" s="288" t="s">
        <v>425</v>
      </c>
      <c r="C14" s="289">
        <v>0</v>
      </c>
      <c r="D14" s="289">
        <v>0</v>
      </c>
      <c r="E14" s="289">
        <v>0</v>
      </c>
      <c r="F14" s="289">
        <v>0</v>
      </c>
      <c r="G14" s="289">
        <v>187384</v>
      </c>
    </row>
    <row r="15" spans="1:7">
      <c r="A15" s="279" t="s">
        <v>426</v>
      </c>
      <c r="B15" s="288" t="s">
        <v>427</v>
      </c>
      <c r="C15" s="289">
        <v>0</v>
      </c>
      <c r="D15" s="289">
        <v>0</v>
      </c>
      <c r="E15" s="289">
        <v>0</v>
      </c>
      <c r="F15" s="289">
        <v>0</v>
      </c>
      <c r="G15" s="289">
        <v>1647</v>
      </c>
    </row>
    <row r="16" spans="1:7">
      <c r="A16" s="290" t="s">
        <v>186</v>
      </c>
      <c r="B16" s="291" t="s">
        <v>428</v>
      </c>
      <c r="C16" s="292">
        <v>589039</v>
      </c>
      <c r="D16" s="292">
        <v>586375</v>
      </c>
      <c r="E16" s="292">
        <v>595504</v>
      </c>
      <c r="F16" s="292">
        <v>0</v>
      </c>
      <c r="G16" s="292">
        <v>595504</v>
      </c>
    </row>
    <row r="17" spans="1:7" ht="30">
      <c r="A17" s="279" t="s">
        <v>327</v>
      </c>
      <c r="B17" s="288" t="s">
        <v>429</v>
      </c>
      <c r="C17" s="289">
        <v>0</v>
      </c>
      <c r="D17" s="289">
        <v>1632</v>
      </c>
      <c r="E17" s="289">
        <v>553</v>
      </c>
      <c r="F17" s="289">
        <v>0</v>
      </c>
      <c r="G17" s="289">
        <v>553</v>
      </c>
    </row>
    <row r="18" spans="1:7">
      <c r="A18" s="279" t="s">
        <v>194</v>
      </c>
      <c r="B18" s="288" t="s">
        <v>430</v>
      </c>
      <c r="C18" s="289">
        <v>0</v>
      </c>
      <c r="D18" s="289">
        <v>0</v>
      </c>
      <c r="E18" s="289">
        <v>0</v>
      </c>
      <c r="F18" s="289">
        <v>0</v>
      </c>
      <c r="G18" s="289">
        <v>553</v>
      </c>
    </row>
    <row r="19" spans="1:7" ht="30">
      <c r="A19" s="279" t="s">
        <v>204</v>
      </c>
      <c r="B19" s="288" t="s">
        <v>431</v>
      </c>
      <c r="C19" s="289">
        <v>15400</v>
      </c>
      <c r="D19" s="289">
        <v>15400</v>
      </c>
      <c r="E19" s="289">
        <v>0</v>
      </c>
      <c r="F19" s="289">
        <v>0</v>
      </c>
      <c r="G19" s="289">
        <v>0</v>
      </c>
    </row>
    <row r="20" spans="1:7">
      <c r="A20" s="290" t="s">
        <v>432</v>
      </c>
      <c r="B20" s="291" t="s">
        <v>433</v>
      </c>
      <c r="C20" s="292">
        <v>15400</v>
      </c>
      <c r="D20" s="292">
        <v>17032</v>
      </c>
      <c r="E20" s="292">
        <v>553</v>
      </c>
      <c r="F20" s="292">
        <v>0</v>
      </c>
      <c r="G20" s="292">
        <v>553</v>
      </c>
    </row>
    <row r="21" spans="1:7">
      <c r="A21" s="279" t="s">
        <v>434</v>
      </c>
      <c r="B21" s="288" t="s">
        <v>435</v>
      </c>
      <c r="C21" s="289">
        <v>8</v>
      </c>
      <c r="D21" s="289">
        <v>8</v>
      </c>
      <c r="E21" s="289">
        <v>5</v>
      </c>
      <c r="F21" s="289">
        <v>0</v>
      </c>
      <c r="G21" s="289">
        <v>5</v>
      </c>
    </row>
    <row r="22" spans="1:7" ht="30">
      <c r="A22" s="279" t="s">
        <v>436</v>
      </c>
      <c r="B22" s="288" t="s">
        <v>437</v>
      </c>
      <c r="C22" s="289">
        <v>0</v>
      </c>
      <c r="D22" s="289">
        <v>0</v>
      </c>
      <c r="E22" s="289">
        <v>0</v>
      </c>
      <c r="F22" s="289">
        <v>0</v>
      </c>
      <c r="G22" s="289">
        <v>5</v>
      </c>
    </row>
    <row r="23" spans="1:7">
      <c r="A23" s="290" t="s">
        <v>348</v>
      </c>
      <c r="B23" s="291" t="s">
        <v>438</v>
      </c>
      <c r="C23" s="292">
        <v>8</v>
      </c>
      <c r="D23" s="292">
        <v>8</v>
      </c>
      <c r="E23" s="292">
        <v>5</v>
      </c>
      <c r="F23" s="292">
        <v>0</v>
      </c>
      <c r="G23" s="292">
        <v>5</v>
      </c>
    </row>
    <row r="24" spans="1:7">
      <c r="A24" s="279" t="s">
        <v>439</v>
      </c>
      <c r="B24" s="288" t="s">
        <v>440</v>
      </c>
      <c r="C24" s="289">
        <v>26022</v>
      </c>
      <c r="D24" s="289">
        <v>26022</v>
      </c>
      <c r="E24" s="289">
        <v>31627</v>
      </c>
      <c r="F24" s="289">
        <v>0</v>
      </c>
      <c r="G24" s="289">
        <v>28488</v>
      </c>
    </row>
    <row r="25" spans="1:7">
      <c r="A25" s="279" t="s">
        <v>441</v>
      </c>
      <c r="B25" s="288" t="s">
        <v>442</v>
      </c>
      <c r="C25" s="289">
        <v>0</v>
      </c>
      <c r="D25" s="289">
        <v>0</v>
      </c>
      <c r="E25" s="289">
        <v>0</v>
      </c>
      <c r="F25" s="289">
        <v>0</v>
      </c>
      <c r="G25" s="289">
        <v>12453</v>
      </c>
    </row>
    <row r="26" spans="1:7">
      <c r="A26" s="279" t="s">
        <v>443</v>
      </c>
      <c r="B26" s="288" t="s">
        <v>444</v>
      </c>
      <c r="C26" s="289">
        <v>0</v>
      </c>
      <c r="D26" s="289">
        <v>0</v>
      </c>
      <c r="E26" s="289">
        <v>0</v>
      </c>
      <c r="F26" s="289">
        <v>0</v>
      </c>
      <c r="G26" s="289">
        <v>16035</v>
      </c>
    </row>
    <row r="27" spans="1:7">
      <c r="A27" s="279" t="s">
        <v>445</v>
      </c>
      <c r="B27" s="288" t="s">
        <v>446</v>
      </c>
      <c r="C27" s="289">
        <v>62000</v>
      </c>
      <c r="D27" s="289">
        <v>62000</v>
      </c>
      <c r="E27" s="289">
        <v>61214</v>
      </c>
      <c r="F27" s="289">
        <v>0</v>
      </c>
      <c r="G27" s="289">
        <v>59952</v>
      </c>
    </row>
    <row r="28" spans="1:7" ht="30">
      <c r="A28" s="279" t="s">
        <v>447</v>
      </c>
      <c r="B28" s="288" t="s">
        <v>448</v>
      </c>
      <c r="C28" s="289">
        <v>0</v>
      </c>
      <c r="D28" s="289">
        <v>0</v>
      </c>
      <c r="E28" s="289">
        <v>0</v>
      </c>
      <c r="F28" s="289">
        <v>0</v>
      </c>
      <c r="G28" s="289">
        <v>59952</v>
      </c>
    </row>
    <row r="29" spans="1:7">
      <c r="A29" s="279" t="s">
        <v>449</v>
      </c>
      <c r="B29" s="288" t="s">
        <v>450</v>
      </c>
      <c r="C29" s="289">
        <v>5170</v>
      </c>
      <c r="D29" s="289">
        <v>5170</v>
      </c>
      <c r="E29" s="289">
        <v>7391</v>
      </c>
      <c r="F29" s="289">
        <v>0</v>
      </c>
      <c r="G29" s="289">
        <v>5217</v>
      </c>
    </row>
    <row r="30" spans="1:7">
      <c r="A30" s="279" t="s">
        <v>220</v>
      </c>
      <c r="B30" s="288" t="s">
        <v>451</v>
      </c>
      <c r="C30" s="289">
        <v>0</v>
      </c>
      <c r="D30" s="289">
        <v>0</v>
      </c>
      <c r="E30" s="289">
        <v>0</v>
      </c>
      <c r="F30" s="289">
        <v>0</v>
      </c>
      <c r="G30" s="289">
        <v>5217</v>
      </c>
    </row>
    <row r="31" spans="1:7">
      <c r="A31" s="279" t="s">
        <v>452</v>
      </c>
      <c r="B31" s="288" t="s">
        <v>453</v>
      </c>
      <c r="C31" s="289">
        <v>800</v>
      </c>
      <c r="D31" s="289">
        <v>800</v>
      </c>
      <c r="E31" s="289">
        <v>1382</v>
      </c>
      <c r="F31" s="289">
        <v>0</v>
      </c>
      <c r="G31" s="289">
        <v>463</v>
      </c>
    </row>
    <row r="32" spans="1:7">
      <c r="A32" s="279" t="s">
        <v>228</v>
      </c>
      <c r="B32" s="288" t="s">
        <v>454</v>
      </c>
      <c r="C32" s="289">
        <v>0</v>
      </c>
      <c r="D32" s="289">
        <v>0</v>
      </c>
      <c r="E32" s="289">
        <v>0</v>
      </c>
      <c r="F32" s="289">
        <v>0</v>
      </c>
      <c r="G32" s="289">
        <v>463</v>
      </c>
    </row>
    <row r="33" spans="1:7">
      <c r="A33" s="290" t="s">
        <v>238</v>
      </c>
      <c r="B33" s="291" t="s">
        <v>455</v>
      </c>
      <c r="C33" s="292">
        <v>67970</v>
      </c>
      <c r="D33" s="292">
        <v>67970</v>
      </c>
      <c r="E33" s="292">
        <v>69987</v>
      </c>
      <c r="F33" s="292">
        <v>0</v>
      </c>
      <c r="G33" s="292">
        <v>65632</v>
      </c>
    </row>
    <row r="34" spans="1:7">
      <c r="A34" s="279" t="s">
        <v>384</v>
      </c>
      <c r="B34" s="288" t="s">
        <v>456</v>
      </c>
      <c r="C34" s="289">
        <v>1000</v>
      </c>
      <c r="D34" s="289">
        <v>1001</v>
      </c>
      <c r="E34" s="289">
        <v>2388</v>
      </c>
      <c r="F34" s="289">
        <v>0</v>
      </c>
      <c r="G34" s="289">
        <v>756</v>
      </c>
    </row>
    <row r="35" spans="1:7">
      <c r="A35" s="279" t="s">
        <v>242</v>
      </c>
      <c r="B35" s="288" t="s">
        <v>457</v>
      </c>
      <c r="C35" s="289">
        <v>0</v>
      </c>
      <c r="D35" s="289">
        <v>0</v>
      </c>
      <c r="E35" s="289">
        <v>0</v>
      </c>
      <c r="F35" s="289">
        <v>0</v>
      </c>
      <c r="G35" s="289">
        <v>133</v>
      </c>
    </row>
    <row r="36" spans="1:7" ht="30">
      <c r="A36" s="279" t="s">
        <v>458</v>
      </c>
      <c r="B36" s="288" t="s">
        <v>459</v>
      </c>
      <c r="C36" s="289">
        <v>0</v>
      </c>
      <c r="D36" s="289">
        <v>0</v>
      </c>
      <c r="E36" s="289">
        <v>0</v>
      </c>
      <c r="F36" s="289">
        <v>0</v>
      </c>
      <c r="G36" s="289">
        <v>40</v>
      </c>
    </row>
    <row r="37" spans="1:7">
      <c r="A37" s="279" t="s">
        <v>250</v>
      </c>
      <c r="B37" s="288" t="s">
        <v>460</v>
      </c>
      <c r="C37" s="289">
        <v>0</v>
      </c>
      <c r="D37" s="289">
        <v>0</v>
      </c>
      <c r="E37" s="289">
        <v>0</v>
      </c>
      <c r="F37" s="289">
        <v>0</v>
      </c>
      <c r="G37" s="289">
        <v>551</v>
      </c>
    </row>
    <row r="38" spans="1:7">
      <c r="A38" s="290" t="s">
        <v>461</v>
      </c>
      <c r="B38" s="291" t="s">
        <v>462</v>
      </c>
      <c r="C38" s="292">
        <v>95000</v>
      </c>
      <c r="D38" s="292">
        <v>95001</v>
      </c>
      <c r="E38" s="292">
        <v>104007</v>
      </c>
      <c r="F38" s="292">
        <v>0</v>
      </c>
      <c r="G38" s="292">
        <v>94881</v>
      </c>
    </row>
    <row r="39" spans="1:7">
      <c r="A39" s="279" t="s">
        <v>463</v>
      </c>
      <c r="B39" s="288" t="s">
        <v>464</v>
      </c>
      <c r="C39" s="289">
        <v>0</v>
      </c>
      <c r="D39" s="289">
        <v>0</v>
      </c>
      <c r="E39" s="289">
        <v>3742</v>
      </c>
      <c r="F39" s="289">
        <v>0</v>
      </c>
      <c r="G39" s="289">
        <v>1398</v>
      </c>
    </row>
    <row r="40" spans="1:7">
      <c r="A40" s="279" t="s">
        <v>465</v>
      </c>
      <c r="B40" s="288" t="s">
        <v>466</v>
      </c>
      <c r="C40" s="289">
        <v>3824</v>
      </c>
      <c r="D40" s="289">
        <v>4676</v>
      </c>
      <c r="E40" s="289">
        <v>30727</v>
      </c>
      <c r="F40" s="289">
        <v>0</v>
      </c>
      <c r="G40" s="289">
        <v>24852</v>
      </c>
    </row>
    <row r="41" spans="1:7">
      <c r="A41" s="279" t="s">
        <v>467</v>
      </c>
      <c r="B41" s="288" t="s">
        <v>468</v>
      </c>
      <c r="C41" s="289">
        <v>0</v>
      </c>
      <c r="D41" s="289">
        <v>0</v>
      </c>
      <c r="E41" s="289">
        <v>0</v>
      </c>
      <c r="F41" s="289">
        <v>0</v>
      </c>
      <c r="G41" s="289">
        <v>8844</v>
      </c>
    </row>
    <row r="42" spans="1:7">
      <c r="A42" s="279" t="s">
        <v>469</v>
      </c>
      <c r="B42" s="288" t="s">
        <v>470</v>
      </c>
      <c r="C42" s="289">
        <v>0</v>
      </c>
      <c r="D42" s="289">
        <v>0</v>
      </c>
      <c r="E42" s="289">
        <v>17</v>
      </c>
      <c r="F42" s="289">
        <v>0</v>
      </c>
      <c r="G42" s="289">
        <v>17</v>
      </c>
    </row>
    <row r="43" spans="1:7">
      <c r="A43" s="279" t="s">
        <v>471</v>
      </c>
      <c r="B43" s="288" t="s">
        <v>472</v>
      </c>
      <c r="C43" s="289">
        <v>5856</v>
      </c>
      <c r="D43" s="289">
        <v>5856</v>
      </c>
      <c r="E43" s="289">
        <v>131</v>
      </c>
      <c r="F43" s="289">
        <v>0</v>
      </c>
      <c r="G43" s="289">
        <v>131</v>
      </c>
    </row>
    <row r="44" spans="1:7">
      <c r="A44" s="279" t="s">
        <v>252</v>
      </c>
      <c r="B44" s="288" t="s">
        <v>473</v>
      </c>
      <c r="C44" s="289">
        <v>11348</v>
      </c>
      <c r="D44" s="289">
        <v>22461</v>
      </c>
      <c r="E44" s="289">
        <v>16882</v>
      </c>
      <c r="F44" s="289">
        <v>0</v>
      </c>
      <c r="G44" s="289">
        <v>16882</v>
      </c>
    </row>
    <row r="45" spans="1:7">
      <c r="A45" s="279" t="s">
        <v>474</v>
      </c>
      <c r="B45" s="288" t="s">
        <v>475</v>
      </c>
      <c r="C45" s="289">
        <v>3476</v>
      </c>
      <c r="D45" s="289">
        <v>3476</v>
      </c>
      <c r="E45" s="289">
        <v>10973</v>
      </c>
      <c r="F45" s="289">
        <v>0</v>
      </c>
      <c r="G45" s="289">
        <v>10772</v>
      </c>
    </row>
    <row r="46" spans="1:7">
      <c r="A46" s="279" t="s">
        <v>394</v>
      </c>
      <c r="B46" s="288" t="s">
        <v>476</v>
      </c>
      <c r="C46" s="289">
        <v>0</v>
      </c>
      <c r="D46" s="289">
        <v>0</v>
      </c>
      <c r="E46" s="289">
        <v>1229</v>
      </c>
      <c r="F46" s="289">
        <v>0</v>
      </c>
      <c r="G46" s="289">
        <v>1229</v>
      </c>
    </row>
    <row r="47" spans="1:7">
      <c r="A47" s="279" t="s">
        <v>254</v>
      </c>
      <c r="B47" s="288" t="s">
        <v>477</v>
      </c>
      <c r="C47" s="289">
        <v>0</v>
      </c>
      <c r="D47" s="289">
        <v>0</v>
      </c>
      <c r="E47" s="289">
        <v>181</v>
      </c>
      <c r="F47" s="289">
        <v>0</v>
      </c>
      <c r="G47" s="289">
        <v>181</v>
      </c>
    </row>
    <row r="48" spans="1:7">
      <c r="A48" s="279" t="s">
        <v>404</v>
      </c>
      <c r="B48" s="288" t="s">
        <v>478</v>
      </c>
      <c r="C48" s="289">
        <v>0</v>
      </c>
      <c r="D48" s="289">
        <v>60</v>
      </c>
      <c r="E48" s="289">
        <v>568</v>
      </c>
      <c r="F48" s="289">
        <v>0</v>
      </c>
      <c r="G48" s="289">
        <v>568</v>
      </c>
    </row>
    <row r="49" spans="1:7">
      <c r="A49" s="279" t="s">
        <v>256</v>
      </c>
      <c r="B49" s="288" t="s">
        <v>479</v>
      </c>
      <c r="C49" s="289">
        <v>49698</v>
      </c>
      <c r="D49" s="289">
        <v>0</v>
      </c>
      <c r="E49" s="289">
        <v>899</v>
      </c>
      <c r="F49" s="289">
        <v>0</v>
      </c>
      <c r="G49" s="289">
        <v>899</v>
      </c>
    </row>
    <row r="50" spans="1:7">
      <c r="A50" s="290" t="s">
        <v>406</v>
      </c>
      <c r="B50" s="291" t="s">
        <v>480</v>
      </c>
      <c r="C50" s="292">
        <v>74202</v>
      </c>
      <c r="D50" s="292">
        <v>36529</v>
      </c>
      <c r="E50" s="292">
        <v>65349</v>
      </c>
      <c r="F50" s="292">
        <v>0</v>
      </c>
      <c r="G50" s="292">
        <v>56929</v>
      </c>
    </row>
    <row r="51" spans="1:7">
      <c r="A51" s="279" t="s">
        <v>481</v>
      </c>
      <c r="B51" s="288" t="s">
        <v>482</v>
      </c>
      <c r="C51" s="289">
        <v>0</v>
      </c>
      <c r="D51" s="289">
        <v>0</v>
      </c>
      <c r="E51" s="289">
        <v>347</v>
      </c>
      <c r="F51" s="289">
        <v>0</v>
      </c>
      <c r="G51" s="289">
        <v>347</v>
      </c>
    </row>
    <row r="52" spans="1:7">
      <c r="A52" s="279" t="s">
        <v>483</v>
      </c>
      <c r="B52" s="288" t="s">
        <v>484</v>
      </c>
      <c r="C52" s="289">
        <v>0</v>
      </c>
      <c r="D52" s="289">
        <v>0</v>
      </c>
      <c r="E52" s="289">
        <v>347</v>
      </c>
      <c r="F52" s="289">
        <v>0</v>
      </c>
      <c r="G52" s="289">
        <v>347</v>
      </c>
    </row>
    <row r="53" spans="1:7">
      <c r="A53" s="279" t="s">
        <v>485</v>
      </c>
      <c r="B53" s="288" t="s">
        <v>486</v>
      </c>
      <c r="C53" s="289">
        <v>192681</v>
      </c>
      <c r="D53" s="289">
        <v>53724</v>
      </c>
      <c r="E53" s="289">
        <v>39761</v>
      </c>
      <c r="F53" s="289">
        <v>0</v>
      </c>
      <c r="G53" s="289">
        <v>39761</v>
      </c>
    </row>
    <row r="54" spans="1:7">
      <c r="A54" s="279" t="s">
        <v>487</v>
      </c>
      <c r="B54" s="288" t="s">
        <v>488</v>
      </c>
      <c r="C54" s="289">
        <v>0</v>
      </c>
      <c r="D54" s="289">
        <v>0</v>
      </c>
      <c r="E54" s="289">
        <v>0</v>
      </c>
      <c r="F54" s="289">
        <v>0</v>
      </c>
      <c r="G54" s="289">
        <v>39761</v>
      </c>
    </row>
    <row r="55" spans="1:7">
      <c r="A55" s="279" t="s">
        <v>489</v>
      </c>
      <c r="B55" s="288" t="s">
        <v>490</v>
      </c>
      <c r="C55" s="289">
        <v>192681</v>
      </c>
      <c r="D55" s="289">
        <v>53724</v>
      </c>
      <c r="E55" s="289">
        <v>39761</v>
      </c>
      <c r="F55" s="289">
        <v>0</v>
      </c>
      <c r="G55" s="289">
        <v>39761</v>
      </c>
    </row>
    <row r="56" spans="1:7" ht="30">
      <c r="A56" s="279" t="s">
        <v>491</v>
      </c>
      <c r="B56" s="288" t="s">
        <v>492</v>
      </c>
      <c r="C56" s="289">
        <v>0</v>
      </c>
      <c r="D56" s="289">
        <v>39</v>
      </c>
      <c r="E56" s="289">
        <v>39</v>
      </c>
      <c r="F56" s="289">
        <v>0</v>
      </c>
      <c r="G56" s="289">
        <v>39</v>
      </c>
    </row>
    <row r="57" spans="1:7" ht="30">
      <c r="A57" s="279" t="s">
        <v>493</v>
      </c>
      <c r="B57" s="288" t="s">
        <v>494</v>
      </c>
      <c r="C57" s="289">
        <v>0</v>
      </c>
      <c r="D57" s="289">
        <v>96</v>
      </c>
      <c r="E57" s="289">
        <v>96</v>
      </c>
      <c r="F57" s="289">
        <v>0</v>
      </c>
      <c r="G57" s="289">
        <v>96</v>
      </c>
    </row>
    <row r="58" spans="1:7">
      <c r="A58" s="279" t="s">
        <v>495</v>
      </c>
      <c r="B58" s="288" t="s">
        <v>496</v>
      </c>
      <c r="C58" s="289">
        <v>0</v>
      </c>
      <c r="D58" s="289">
        <v>53877</v>
      </c>
      <c r="E58" s="289">
        <v>53877</v>
      </c>
      <c r="F58" s="289">
        <v>0</v>
      </c>
      <c r="G58" s="289">
        <v>53877</v>
      </c>
    </row>
    <row r="59" spans="1:7">
      <c r="A59" s="279" t="s">
        <v>497</v>
      </c>
      <c r="B59" s="288" t="s">
        <v>498</v>
      </c>
      <c r="C59" s="289">
        <v>0</v>
      </c>
      <c r="D59" s="289">
        <v>0</v>
      </c>
      <c r="E59" s="289">
        <v>0</v>
      </c>
      <c r="F59" s="289">
        <v>0</v>
      </c>
      <c r="G59" s="289">
        <v>53877</v>
      </c>
    </row>
    <row r="60" spans="1:7">
      <c r="A60" s="279" t="s">
        <v>499</v>
      </c>
      <c r="B60" s="288" t="s">
        <v>500</v>
      </c>
      <c r="C60" s="289">
        <v>0</v>
      </c>
      <c r="D60" s="289">
        <v>54012</v>
      </c>
      <c r="E60" s="289">
        <v>54012</v>
      </c>
      <c r="F60" s="289">
        <v>0</v>
      </c>
      <c r="G60" s="289">
        <v>54012</v>
      </c>
    </row>
    <row r="61" spans="1:7">
      <c r="A61" s="279" t="s">
        <v>410</v>
      </c>
      <c r="B61" s="288" t="s">
        <v>501</v>
      </c>
      <c r="C61" s="289">
        <v>966322</v>
      </c>
      <c r="D61" s="289">
        <v>842673</v>
      </c>
      <c r="E61" s="289">
        <v>859533</v>
      </c>
      <c r="F61" s="289">
        <v>0</v>
      </c>
      <c r="G61" s="289">
        <v>841987</v>
      </c>
    </row>
  </sheetData>
  <mergeCells count="1">
    <mergeCell ref="A3:G3"/>
  </mergeCells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89"/>
  <sheetViews>
    <sheetView topLeftCell="C1" workbookViewId="0">
      <pane ySplit="5" topLeftCell="A6" activePane="bottomLeft" state="frozen"/>
      <selection sqref="A1:G1"/>
      <selection pane="bottomLeft" activeCell="I2" sqref="I2"/>
    </sheetView>
  </sheetViews>
  <sheetFormatPr defaultRowHeight="15"/>
  <cols>
    <col min="1" max="1" width="8.140625" style="278" customWidth="1"/>
    <col min="2" max="2" width="59.42578125" style="278" customWidth="1"/>
    <col min="3" max="9" width="19.140625" style="278" customWidth="1"/>
    <col min="10" max="256" width="9.140625" style="278"/>
    <col min="257" max="257" width="8.140625" style="278" customWidth="1"/>
    <col min="258" max="258" width="82" style="278" customWidth="1"/>
    <col min="259" max="265" width="19.140625" style="278" customWidth="1"/>
    <col min="266" max="512" width="9.140625" style="278"/>
    <col min="513" max="513" width="8.140625" style="278" customWidth="1"/>
    <col min="514" max="514" width="82" style="278" customWidth="1"/>
    <col min="515" max="521" width="19.140625" style="278" customWidth="1"/>
    <col min="522" max="768" width="9.140625" style="278"/>
    <col min="769" max="769" width="8.140625" style="278" customWidth="1"/>
    <col min="770" max="770" width="82" style="278" customWidth="1"/>
    <col min="771" max="777" width="19.140625" style="278" customWidth="1"/>
    <col min="778" max="1024" width="9.140625" style="278"/>
    <col min="1025" max="1025" width="8.140625" style="278" customWidth="1"/>
    <col min="1026" max="1026" width="82" style="278" customWidth="1"/>
    <col min="1027" max="1033" width="19.140625" style="278" customWidth="1"/>
    <col min="1034" max="1280" width="9.140625" style="278"/>
    <col min="1281" max="1281" width="8.140625" style="278" customWidth="1"/>
    <col min="1282" max="1282" width="82" style="278" customWidth="1"/>
    <col min="1283" max="1289" width="19.140625" style="278" customWidth="1"/>
    <col min="1290" max="1536" width="9.140625" style="278"/>
    <col min="1537" max="1537" width="8.140625" style="278" customWidth="1"/>
    <col min="1538" max="1538" width="82" style="278" customWidth="1"/>
    <col min="1539" max="1545" width="19.140625" style="278" customWidth="1"/>
    <col min="1546" max="1792" width="9.140625" style="278"/>
    <col min="1793" max="1793" width="8.140625" style="278" customWidth="1"/>
    <col min="1794" max="1794" width="82" style="278" customWidth="1"/>
    <col min="1795" max="1801" width="19.140625" style="278" customWidth="1"/>
    <col min="1802" max="2048" width="9.140625" style="278"/>
    <col min="2049" max="2049" width="8.140625" style="278" customWidth="1"/>
    <col min="2050" max="2050" width="82" style="278" customWidth="1"/>
    <col min="2051" max="2057" width="19.140625" style="278" customWidth="1"/>
    <col min="2058" max="2304" width="9.140625" style="278"/>
    <col min="2305" max="2305" width="8.140625" style="278" customWidth="1"/>
    <col min="2306" max="2306" width="82" style="278" customWidth="1"/>
    <col min="2307" max="2313" width="19.140625" style="278" customWidth="1"/>
    <col min="2314" max="2560" width="9.140625" style="278"/>
    <col min="2561" max="2561" width="8.140625" style="278" customWidth="1"/>
    <col min="2562" max="2562" width="82" style="278" customWidth="1"/>
    <col min="2563" max="2569" width="19.140625" style="278" customWidth="1"/>
    <col min="2570" max="2816" width="9.140625" style="278"/>
    <col min="2817" max="2817" width="8.140625" style="278" customWidth="1"/>
    <col min="2818" max="2818" width="82" style="278" customWidth="1"/>
    <col min="2819" max="2825" width="19.140625" style="278" customWidth="1"/>
    <col min="2826" max="3072" width="9.140625" style="278"/>
    <col min="3073" max="3073" width="8.140625" style="278" customWidth="1"/>
    <col min="3074" max="3074" width="82" style="278" customWidth="1"/>
    <col min="3075" max="3081" width="19.140625" style="278" customWidth="1"/>
    <col min="3082" max="3328" width="9.140625" style="278"/>
    <col min="3329" max="3329" width="8.140625" style="278" customWidth="1"/>
    <col min="3330" max="3330" width="82" style="278" customWidth="1"/>
    <col min="3331" max="3337" width="19.140625" style="278" customWidth="1"/>
    <col min="3338" max="3584" width="9.140625" style="278"/>
    <col min="3585" max="3585" width="8.140625" style="278" customWidth="1"/>
    <col min="3586" max="3586" width="82" style="278" customWidth="1"/>
    <col min="3587" max="3593" width="19.140625" style="278" customWidth="1"/>
    <col min="3594" max="3840" width="9.140625" style="278"/>
    <col min="3841" max="3841" width="8.140625" style="278" customWidth="1"/>
    <col min="3842" max="3842" width="82" style="278" customWidth="1"/>
    <col min="3843" max="3849" width="19.140625" style="278" customWidth="1"/>
    <col min="3850" max="4096" width="9.140625" style="278"/>
    <col min="4097" max="4097" width="8.140625" style="278" customWidth="1"/>
    <col min="4098" max="4098" width="82" style="278" customWidth="1"/>
    <col min="4099" max="4105" width="19.140625" style="278" customWidth="1"/>
    <col min="4106" max="4352" width="9.140625" style="278"/>
    <col min="4353" max="4353" width="8.140625" style="278" customWidth="1"/>
    <col min="4354" max="4354" width="82" style="278" customWidth="1"/>
    <col min="4355" max="4361" width="19.140625" style="278" customWidth="1"/>
    <col min="4362" max="4608" width="9.140625" style="278"/>
    <col min="4609" max="4609" width="8.140625" style="278" customWidth="1"/>
    <col min="4610" max="4610" width="82" style="278" customWidth="1"/>
    <col min="4611" max="4617" width="19.140625" style="278" customWidth="1"/>
    <col min="4618" max="4864" width="9.140625" style="278"/>
    <col min="4865" max="4865" width="8.140625" style="278" customWidth="1"/>
    <col min="4866" max="4866" width="82" style="278" customWidth="1"/>
    <col min="4867" max="4873" width="19.140625" style="278" customWidth="1"/>
    <col min="4874" max="5120" width="9.140625" style="278"/>
    <col min="5121" max="5121" width="8.140625" style="278" customWidth="1"/>
    <col min="5122" max="5122" width="82" style="278" customWidth="1"/>
    <col min="5123" max="5129" width="19.140625" style="278" customWidth="1"/>
    <col min="5130" max="5376" width="9.140625" style="278"/>
    <col min="5377" max="5377" width="8.140625" style="278" customWidth="1"/>
    <col min="5378" max="5378" width="82" style="278" customWidth="1"/>
    <col min="5379" max="5385" width="19.140625" style="278" customWidth="1"/>
    <col min="5386" max="5632" width="9.140625" style="278"/>
    <col min="5633" max="5633" width="8.140625" style="278" customWidth="1"/>
    <col min="5634" max="5634" width="82" style="278" customWidth="1"/>
    <col min="5635" max="5641" width="19.140625" style="278" customWidth="1"/>
    <col min="5642" max="5888" width="9.140625" style="278"/>
    <col min="5889" max="5889" width="8.140625" style="278" customWidth="1"/>
    <col min="5890" max="5890" width="82" style="278" customWidth="1"/>
    <col min="5891" max="5897" width="19.140625" style="278" customWidth="1"/>
    <col min="5898" max="6144" width="9.140625" style="278"/>
    <col min="6145" max="6145" width="8.140625" style="278" customWidth="1"/>
    <col min="6146" max="6146" width="82" style="278" customWidth="1"/>
    <col min="6147" max="6153" width="19.140625" style="278" customWidth="1"/>
    <col min="6154" max="6400" width="9.140625" style="278"/>
    <col min="6401" max="6401" width="8.140625" style="278" customWidth="1"/>
    <col min="6402" max="6402" width="82" style="278" customWidth="1"/>
    <col min="6403" max="6409" width="19.140625" style="278" customWidth="1"/>
    <col min="6410" max="6656" width="9.140625" style="278"/>
    <col min="6657" max="6657" width="8.140625" style="278" customWidth="1"/>
    <col min="6658" max="6658" width="82" style="278" customWidth="1"/>
    <col min="6659" max="6665" width="19.140625" style="278" customWidth="1"/>
    <col min="6666" max="6912" width="9.140625" style="278"/>
    <col min="6913" max="6913" width="8.140625" style="278" customWidth="1"/>
    <col min="6914" max="6914" width="82" style="278" customWidth="1"/>
    <col min="6915" max="6921" width="19.140625" style="278" customWidth="1"/>
    <col min="6922" max="7168" width="9.140625" style="278"/>
    <col min="7169" max="7169" width="8.140625" style="278" customWidth="1"/>
    <col min="7170" max="7170" width="82" style="278" customWidth="1"/>
    <col min="7171" max="7177" width="19.140625" style="278" customWidth="1"/>
    <col min="7178" max="7424" width="9.140625" style="278"/>
    <col min="7425" max="7425" width="8.140625" style="278" customWidth="1"/>
    <col min="7426" max="7426" width="82" style="278" customWidth="1"/>
    <col min="7427" max="7433" width="19.140625" style="278" customWidth="1"/>
    <col min="7434" max="7680" width="9.140625" style="278"/>
    <col min="7681" max="7681" width="8.140625" style="278" customWidth="1"/>
    <col min="7682" max="7682" width="82" style="278" customWidth="1"/>
    <col min="7683" max="7689" width="19.140625" style="278" customWidth="1"/>
    <col min="7690" max="7936" width="9.140625" style="278"/>
    <col min="7937" max="7937" width="8.140625" style="278" customWidth="1"/>
    <col min="7938" max="7938" width="82" style="278" customWidth="1"/>
    <col min="7939" max="7945" width="19.140625" style="278" customWidth="1"/>
    <col min="7946" max="8192" width="9.140625" style="278"/>
    <col min="8193" max="8193" width="8.140625" style="278" customWidth="1"/>
    <col min="8194" max="8194" width="82" style="278" customWidth="1"/>
    <col min="8195" max="8201" width="19.140625" style="278" customWidth="1"/>
    <col min="8202" max="8448" width="9.140625" style="278"/>
    <col min="8449" max="8449" width="8.140625" style="278" customWidth="1"/>
    <col min="8450" max="8450" width="82" style="278" customWidth="1"/>
    <col min="8451" max="8457" width="19.140625" style="278" customWidth="1"/>
    <col min="8458" max="8704" width="9.140625" style="278"/>
    <col min="8705" max="8705" width="8.140625" style="278" customWidth="1"/>
    <col min="8706" max="8706" width="82" style="278" customWidth="1"/>
    <col min="8707" max="8713" width="19.140625" style="278" customWidth="1"/>
    <col min="8714" max="8960" width="9.140625" style="278"/>
    <col min="8961" max="8961" width="8.140625" style="278" customWidth="1"/>
    <col min="8962" max="8962" width="82" style="278" customWidth="1"/>
    <col min="8963" max="8969" width="19.140625" style="278" customWidth="1"/>
    <col min="8970" max="9216" width="9.140625" style="278"/>
    <col min="9217" max="9217" width="8.140625" style="278" customWidth="1"/>
    <col min="9218" max="9218" width="82" style="278" customWidth="1"/>
    <col min="9219" max="9225" width="19.140625" style="278" customWidth="1"/>
    <col min="9226" max="9472" width="9.140625" style="278"/>
    <col min="9473" max="9473" width="8.140625" style="278" customWidth="1"/>
    <col min="9474" max="9474" width="82" style="278" customWidth="1"/>
    <col min="9475" max="9481" width="19.140625" style="278" customWidth="1"/>
    <col min="9482" max="9728" width="9.140625" style="278"/>
    <col min="9729" max="9729" width="8.140625" style="278" customWidth="1"/>
    <col min="9730" max="9730" width="82" style="278" customWidth="1"/>
    <col min="9731" max="9737" width="19.140625" style="278" customWidth="1"/>
    <col min="9738" max="9984" width="9.140625" style="278"/>
    <col min="9985" max="9985" width="8.140625" style="278" customWidth="1"/>
    <col min="9986" max="9986" width="82" style="278" customWidth="1"/>
    <col min="9987" max="9993" width="19.140625" style="278" customWidth="1"/>
    <col min="9994" max="10240" width="9.140625" style="278"/>
    <col min="10241" max="10241" width="8.140625" style="278" customWidth="1"/>
    <col min="10242" max="10242" width="82" style="278" customWidth="1"/>
    <col min="10243" max="10249" width="19.140625" style="278" customWidth="1"/>
    <col min="10250" max="10496" width="9.140625" style="278"/>
    <col min="10497" max="10497" width="8.140625" style="278" customWidth="1"/>
    <col min="10498" max="10498" width="82" style="278" customWidth="1"/>
    <col min="10499" max="10505" width="19.140625" style="278" customWidth="1"/>
    <col min="10506" max="10752" width="9.140625" style="278"/>
    <col min="10753" max="10753" width="8.140625" style="278" customWidth="1"/>
    <col min="10754" max="10754" width="82" style="278" customWidth="1"/>
    <col min="10755" max="10761" width="19.140625" style="278" customWidth="1"/>
    <col min="10762" max="11008" width="9.140625" style="278"/>
    <col min="11009" max="11009" width="8.140625" style="278" customWidth="1"/>
    <col min="11010" max="11010" width="82" style="278" customWidth="1"/>
    <col min="11011" max="11017" width="19.140625" style="278" customWidth="1"/>
    <col min="11018" max="11264" width="9.140625" style="278"/>
    <col min="11265" max="11265" width="8.140625" style="278" customWidth="1"/>
    <col min="11266" max="11266" width="82" style="278" customWidth="1"/>
    <col min="11267" max="11273" width="19.140625" style="278" customWidth="1"/>
    <col min="11274" max="11520" width="9.140625" style="278"/>
    <col min="11521" max="11521" width="8.140625" style="278" customWidth="1"/>
    <col min="11522" max="11522" width="82" style="278" customWidth="1"/>
    <col min="11523" max="11529" width="19.140625" style="278" customWidth="1"/>
    <col min="11530" max="11776" width="9.140625" style="278"/>
    <col min="11777" max="11777" width="8.140625" style="278" customWidth="1"/>
    <col min="11778" max="11778" width="82" style="278" customWidth="1"/>
    <col min="11779" max="11785" width="19.140625" style="278" customWidth="1"/>
    <col min="11786" max="12032" width="9.140625" style="278"/>
    <col min="12033" max="12033" width="8.140625" style="278" customWidth="1"/>
    <col min="12034" max="12034" width="82" style="278" customWidth="1"/>
    <col min="12035" max="12041" width="19.140625" style="278" customWidth="1"/>
    <col min="12042" max="12288" width="9.140625" style="278"/>
    <col min="12289" max="12289" width="8.140625" style="278" customWidth="1"/>
    <col min="12290" max="12290" width="82" style="278" customWidth="1"/>
    <col min="12291" max="12297" width="19.140625" style="278" customWidth="1"/>
    <col min="12298" max="12544" width="9.140625" style="278"/>
    <col min="12545" max="12545" width="8.140625" style="278" customWidth="1"/>
    <col min="12546" max="12546" width="82" style="278" customWidth="1"/>
    <col min="12547" max="12553" width="19.140625" style="278" customWidth="1"/>
    <col min="12554" max="12800" width="9.140625" style="278"/>
    <col min="12801" max="12801" width="8.140625" style="278" customWidth="1"/>
    <col min="12802" max="12802" width="82" style="278" customWidth="1"/>
    <col min="12803" max="12809" width="19.140625" style="278" customWidth="1"/>
    <col min="12810" max="13056" width="9.140625" style="278"/>
    <col min="13057" max="13057" width="8.140625" style="278" customWidth="1"/>
    <col min="13058" max="13058" width="82" style="278" customWidth="1"/>
    <col min="13059" max="13065" width="19.140625" style="278" customWidth="1"/>
    <col min="13066" max="13312" width="9.140625" style="278"/>
    <col min="13313" max="13313" width="8.140625" style="278" customWidth="1"/>
    <col min="13314" max="13314" width="82" style="278" customWidth="1"/>
    <col min="13315" max="13321" width="19.140625" style="278" customWidth="1"/>
    <col min="13322" max="13568" width="9.140625" style="278"/>
    <col min="13569" max="13569" width="8.140625" style="278" customWidth="1"/>
    <col min="13570" max="13570" width="82" style="278" customWidth="1"/>
    <col min="13571" max="13577" width="19.140625" style="278" customWidth="1"/>
    <col min="13578" max="13824" width="9.140625" style="278"/>
    <col min="13825" max="13825" width="8.140625" style="278" customWidth="1"/>
    <col min="13826" max="13826" width="82" style="278" customWidth="1"/>
    <col min="13827" max="13833" width="19.140625" style="278" customWidth="1"/>
    <col min="13834" max="14080" width="9.140625" style="278"/>
    <col min="14081" max="14081" width="8.140625" style="278" customWidth="1"/>
    <col min="14082" max="14082" width="82" style="278" customWidth="1"/>
    <col min="14083" max="14089" width="19.140625" style="278" customWidth="1"/>
    <col min="14090" max="14336" width="9.140625" style="278"/>
    <col min="14337" max="14337" width="8.140625" style="278" customWidth="1"/>
    <col min="14338" max="14338" width="82" style="278" customWidth="1"/>
    <col min="14339" max="14345" width="19.140625" style="278" customWidth="1"/>
    <col min="14346" max="14592" width="9.140625" style="278"/>
    <col min="14593" max="14593" width="8.140625" style="278" customWidth="1"/>
    <col min="14594" max="14594" width="82" style="278" customWidth="1"/>
    <col min="14595" max="14601" width="19.140625" style="278" customWidth="1"/>
    <col min="14602" max="14848" width="9.140625" style="278"/>
    <col min="14849" max="14849" width="8.140625" style="278" customWidth="1"/>
    <col min="14850" max="14850" width="82" style="278" customWidth="1"/>
    <col min="14851" max="14857" width="19.140625" style="278" customWidth="1"/>
    <col min="14858" max="15104" width="9.140625" style="278"/>
    <col min="15105" max="15105" width="8.140625" style="278" customWidth="1"/>
    <col min="15106" max="15106" width="82" style="278" customWidth="1"/>
    <col min="15107" max="15113" width="19.140625" style="278" customWidth="1"/>
    <col min="15114" max="15360" width="9.140625" style="278"/>
    <col min="15361" max="15361" width="8.140625" style="278" customWidth="1"/>
    <col min="15362" max="15362" width="82" style="278" customWidth="1"/>
    <col min="15363" max="15369" width="19.140625" style="278" customWidth="1"/>
    <col min="15370" max="15616" width="9.140625" style="278"/>
    <col min="15617" max="15617" width="8.140625" style="278" customWidth="1"/>
    <col min="15618" max="15618" width="82" style="278" customWidth="1"/>
    <col min="15619" max="15625" width="19.140625" style="278" customWidth="1"/>
    <col min="15626" max="15872" width="9.140625" style="278"/>
    <col min="15873" max="15873" width="8.140625" style="278" customWidth="1"/>
    <col min="15874" max="15874" width="82" style="278" customWidth="1"/>
    <col min="15875" max="15881" width="19.140625" style="278" customWidth="1"/>
    <col min="15882" max="16128" width="9.140625" style="278"/>
    <col min="16129" max="16129" width="8.140625" style="278" customWidth="1"/>
    <col min="16130" max="16130" width="82" style="278" customWidth="1"/>
    <col min="16131" max="16137" width="19.140625" style="278" customWidth="1"/>
    <col min="16138" max="16384" width="9.140625" style="278"/>
  </cols>
  <sheetData>
    <row r="1" spans="1:9">
      <c r="I1" s="278" t="s">
        <v>510</v>
      </c>
    </row>
    <row r="3" spans="1:9">
      <c r="A3" s="511" t="s">
        <v>268</v>
      </c>
      <c r="B3" s="512"/>
      <c r="C3" s="512"/>
      <c r="D3" s="512"/>
      <c r="E3" s="512"/>
      <c r="F3" s="512"/>
      <c r="G3" s="512"/>
      <c r="H3" s="512"/>
      <c r="I3" s="512"/>
    </row>
    <row r="4" spans="1:9" ht="90">
      <c r="A4" s="279" t="s">
        <v>141</v>
      </c>
      <c r="B4" s="279" t="s">
        <v>79</v>
      </c>
      <c r="C4" s="279" t="s">
        <v>269</v>
      </c>
      <c r="D4" s="279" t="s">
        <v>270</v>
      </c>
      <c r="E4" s="279" t="s">
        <v>271</v>
      </c>
      <c r="F4" s="279" t="s">
        <v>272</v>
      </c>
      <c r="G4" s="279" t="s">
        <v>273</v>
      </c>
      <c r="H4" s="279" t="s">
        <v>274</v>
      </c>
      <c r="I4" s="279" t="s">
        <v>102</v>
      </c>
    </row>
    <row r="5" spans="1:9">
      <c r="A5" s="279">
        <v>2</v>
      </c>
      <c r="B5" s="279">
        <v>3</v>
      </c>
      <c r="C5" s="279">
        <v>4</v>
      </c>
      <c r="D5" s="279">
        <v>5</v>
      </c>
      <c r="E5" s="279">
        <v>6</v>
      </c>
      <c r="F5" s="279">
        <v>7</v>
      </c>
      <c r="G5" s="279">
        <v>8</v>
      </c>
      <c r="H5" s="279">
        <v>9</v>
      </c>
      <c r="I5" s="279">
        <v>10</v>
      </c>
    </row>
    <row r="6" spans="1:9">
      <c r="A6" s="280" t="s">
        <v>143</v>
      </c>
      <c r="B6" s="281" t="s">
        <v>275</v>
      </c>
      <c r="C6" s="282">
        <v>335742</v>
      </c>
      <c r="D6" s="282">
        <v>329016</v>
      </c>
      <c r="E6" s="282">
        <v>0</v>
      </c>
      <c r="F6" s="282">
        <v>303452</v>
      </c>
      <c r="G6" s="282">
        <v>0</v>
      </c>
      <c r="H6" s="282">
        <v>0</v>
      </c>
      <c r="I6" s="282">
        <v>303452</v>
      </c>
    </row>
    <row r="7" spans="1:9">
      <c r="A7" s="280" t="s">
        <v>147</v>
      </c>
      <c r="B7" s="281" t="s">
        <v>276</v>
      </c>
      <c r="C7" s="282">
        <v>0</v>
      </c>
      <c r="D7" s="282">
        <v>1970</v>
      </c>
      <c r="E7" s="282">
        <v>0</v>
      </c>
      <c r="F7" s="282">
        <v>1970</v>
      </c>
      <c r="G7" s="282">
        <v>0</v>
      </c>
      <c r="H7" s="282">
        <v>0</v>
      </c>
      <c r="I7" s="282">
        <v>1970</v>
      </c>
    </row>
    <row r="8" spans="1:9" ht="30">
      <c r="A8" s="280" t="s">
        <v>149</v>
      </c>
      <c r="B8" s="281" t="s">
        <v>277</v>
      </c>
      <c r="C8" s="282">
        <v>427</v>
      </c>
      <c r="D8" s="282">
        <v>1755</v>
      </c>
      <c r="E8" s="282">
        <v>0</v>
      </c>
      <c r="F8" s="282">
        <v>1543</v>
      </c>
      <c r="G8" s="282">
        <v>0</v>
      </c>
      <c r="H8" s="282">
        <v>0</v>
      </c>
      <c r="I8" s="282">
        <v>1543</v>
      </c>
    </row>
    <row r="9" spans="1:9">
      <c r="A9" s="280" t="s">
        <v>153</v>
      </c>
      <c r="B9" s="281" t="s">
        <v>278</v>
      </c>
      <c r="C9" s="282">
        <v>1467</v>
      </c>
      <c r="D9" s="282">
        <v>3104</v>
      </c>
      <c r="E9" s="282">
        <v>0</v>
      </c>
      <c r="F9" s="282">
        <v>3104</v>
      </c>
      <c r="G9" s="282">
        <v>0</v>
      </c>
      <c r="H9" s="282">
        <v>0</v>
      </c>
      <c r="I9" s="282">
        <v>3104</v>
      </c>
    </row>
    <row r="10" spans="1:9">
      <c r="A10" s="280" t="s">
        <v>155</v>
      </c>
      <c r="B10" s="281" t="s">
        <v>279</v>
      </c>
      <c r="C10" s="282">
        <v>3600</v>
      </c>
      <c r="D10" s="282">
        <v>4450</v>
      </c>
      <c r="E10" s="282">
        <v>0</v>
      </c>
      <c r="F10" s="282">
        <v>3611</v>
      </c>
      <c r="G10" s="282">
        <v>0</v>
      </c>
      <c r="H10" s="282">
        <v>0</v>
      </c>
      <c r="I10" s="282">
        <v>3611</v>
      </c>
    </row>
    <row r="11" spans="1:9">
      <c r="A11" s="280" t="s">
        <v>280</v>
      </c>
      <c r="B11" s="281" t="s">
        <v>281</v>
      </c>
      <c r="C11" s="282">
        <v>805</v>
      </c>
      <c r="D11" s="282">
        <v>1050</v>
      </c>
      <c r="E11" s="282">
        <v>0</v>
      </c>
      <c r="F11" s="282">
        <v>809</v>
      </c>
      <c r="G11" s="282">
        <v>0</v>
      </c>
      <c r="H11" s="282">
        <v>0</v>
      </c>
      <c r="I11" s="282">
        <v>809</v>
      </c>
    </row>
    <row r="12" spans="1:9">
      <c r="A12" s="280" t="s">
        <v>172</v>
      </c>
      <c r="B12" s="281" t="s">
        <v>282</v>
      </c>
      <c r="C12" s="282">
        <v>280</v>
      </c>
      <c r="D12" s="282">
        <v>170</v>
      </c>
      <c r="E12" s="282">
        <v>0</v>
      </c>
      <c r="F12" s="282">
        <v>0</v>
      </c>
      <c r="G12" s="282">
        <v>0</v>
      </c>
      <c r="H12" s="282">
        <v>0</v>
      </c>
      <c r="I12" s="282">
        <v>0</v>
      </c>
    </row>
    <row r="13" spans="1:9">
      <c r="A13" s="280" t="s">
        <v>176</v>
      </c>
      <c r="B13" s="281" t="s">
        <v>283</v>
      </c>
      <c r="C13" s="282">
        <v>2009</v>
      </c>
      <c r="D13" s="282">
        <v>20152</v>
      </c>
      <c r="E13" s="282">
        <v>0</v>
      </c>
      <c r="F13" s="282">
        <v>20152</v>
      </c>
      <c r="G13" s="282">
        <v>0</v>
      </c>
      <c r="H13" s="282">
        <v>0</v>
      </c>
      <c r="I13" s="282">
        <v>20152</v>
      </c>
    </row>
    <row r="14" spans="1:9">
      <c r="A14" s="283" t="s">
        <v>157</v>
      </c>
      <c r="B14" s="284" t="s">
        <v>284</v>
      </c>
      <c r="C14" s="285">
        <v>344330</v>
      </c>
      <c r="D14" s="285">
        <v>361667</v>
      </c>
      <c r="E14" s="285">
        <v>0</v>
      </c>
      <c r="F14" s="285">
        <v>334641</v>
      </c>
      <c r="G14" s="285">
        <v>0</v>
      </c>
      <c r="H14" s="285">
        <v>0</v>
      </c>
      <c r="I14" s="285">
        <v>334641</v>
      </c>
    </row>
    <row r="15" spans="1:9">
      <c r="A15" s="280" t="s">
        <v>159</v>
      </c>
      <c r="B15" s="281" t="s">
        <v>285</v>
      </c>
      <c r="C15" s="282">
        <v>0</v>
      </c>
      <c r="D15" s="282">
        <v>12263</v>
      </c>
      <c r="E15" s="282">
        <v>0</v>
      </c>
      <c r="F15" s="282">
        <v>12263</v>
      </c>
      <c r="G15" s="282">
        <v>0</v>
      </c>
      <c r="H15" s="282">
        <v>0</v>
      </c>
      <c r="I15" s="282">
        <v>12263</v>
      </c>
    </row>
    <row r="16" spans="1:9" ht="30">
      <c r="A16" s="280" t="s">
        <v>161</v>
      </c>
      <c r="B16" s="281" t="s">
        <v>286</v>
      </c>
      <c r="C16" s="282">
        <v>14426</v>
      </c>
      <c r="D16" s="282">
        <v>8085</v>
      </c>
      <c r="E16" s="282">
        <v>0</v>
      </c>
      <c r="F16" s="282">
        <v>5717</v>
      </c>
      <c r="G16" s="282">
        <v>0</v>
      </c>
      <c r="H16" s="282">
        <v>0</v>
      </c>
      <c r="I16" s="282">
        <v>5717</v>
      </c>
    </row>
    <row r="17" spans="1:9">
      <c r="A17" s="280" t="s">
        <v>287</v>
      </c>
      <c r="B17" s="281" t="s">
        <v>288</v>
      </c>
      <c r="C17" s="282">
        <v>0</v>
      </c>
      <c r="D17" s="282">
        <v>21</v>
      </c>
      <c r="E17" s="282">
        <v>0</v>
      </c>
      <c r="F17" s="282">
        <v>21</v>
      </c>
      <c r="G17" s="282">
        <v>0</v>
      </c>
      <c r="H17" s="282">
        <v>0</v>
      </c>
      <c r="I17" s="282">
        <v>21</v>
      </c>
    </row>
    <row r="18" spans="1:9">
      <c r="A18" s="283" t="s">
        <v>289</v>
      </c>
      <c r="B18" s="284" t="s">
        <v>290</v>
      </c>
      <c r="C18" s="285">
        <v>14426</v>
      </c>
      <c r="D18" s="285">
        <v>20369</v>
      </c>
      <c r="E18" s="285">
        <v>0</v>
      </c>
      <c r="F18" s="285">
        <v>18001</v>
      </c>
      <c r="G18" s="285">
        <v>0</v>
      </c>
      <c r="H18" s="285">
        <v>0</v>
      </c>
      <c r="I18" s="285">
        <v>18001</v>
      </c>
    </row>
    <row r="19" spans="1:9">
      <c r="A19" s="283" t="s">
        <v>291</v>
      </c>
      <c r="B19" s="284" t="s">
        <v>292</v>
      </c>
      <c r="C19" s="285">
        <v>358756</v>
      </c>
      <c r="D19" s="285">
        <v>382036</v>
      </c>
      <c r="E19" s="285">
        <v>0</v>
      </c>
      <c r="F19" s="285">
        <v>352642</v>
      </c>
      <c r="G19" s="285">
        <v>0</v>
      </c>
      <c r="H19" s="285">
        <v>0</v>
      </c>
      <c r="I19" s="285">
        <v>352642</v>
      </c>
    </row>
    <row r="20" spans="1:9" ht="30">
      <c r="A20" s="283" t="s">
        <v>178</v>
      </c>
      <c r="B20" s="284" t="s">
        <v>293</v>
      </c>
      <c r="C20" s="285">
        <v>75744</v>
      </c>
      <c r="D20" s="285">
        <v>79364</v>
      </c>
      <c r="E20" s="285">
        <v>0</v>
      </c>
      <c r="F20" s="285">
        <v>76010</v>
      </c>
      <c r="G20" s="285">
        <v>0</v>
      </c>
      <c r="H20" s="285">
        <v>0</v>
      </c>
      <c r="I20" s="285">
        <v>76010</v>
      </c>
    </row>
    <row r="21" spans="1:9">
      <c r="A21" s="280" t="s">
        <v>294</v>
      </c>
      <c r="B21" s="281" t="s">
        <v>295</v>
      </c>
      <c r="C21" s="282">
        <v>0</v>
      </c>
      <c r="D21" s="282">
        <v>0</v>
      </c>
      <c r="E21" s="282">
        <v>0</v>
      </c>
      <c r="F21" s="282">
        <v>0</v>
      </c>
      <c r="G21" s="282">
        <v>0</v>
      </c>
      <c r="H21" s="282">
        <v>0</v>
      </c>
      <c r="I21" s="282">
        <v>73745</v>
      </c>
    </row>
    <row r="22" spans="1:9">
      <c r="A22" s="280" t="s">
        <v>296</v>
      </c>
      <c r="B22" s="281" t="s">
        <v>297</v>
      </c>
      <c r="C22" s="282">
        <v>0</v>
      </c>
      <c r="D22" s="282">
        <v>0</v>
      </c>
      <c r="E22" s="282">
        <v>0</v>
      </c>
      <c r="F22" s="282">
        <v>0</v>
      </c>
      <c r="G22" s="282">
        <v>0</v>
      </c>
      <c r="H22" s="282">
        <v>0</v>
      </c>
      <c r="I22" s="282">
        <v>935</v>
      </c>
    </row>
    <row r="23" spans="1:9">
      <c r="A23" s="280" t="s">
        <v>298</v>
      </c>
      <c r="B23" s="281" t="s">
        <v>299</v>
      </c>
      <c r="C23" s="282">
        <v>0</v>
      </c>
      <c r="D23" s="282">
        <v>0</v>
      </c>
      <c r="E23" s="282">
        <v>0</v>
      </c>
      <c r="F23" s="282">
        <v>0</v>
      </c>
      <c r="G23" s="282">
        <v>0</v>
      </c>
      <c r="H23" s="282">
        <v>0</v>
      </c>
      <c r="I23" s="282">
        <v>748</v>
      </c>
    </row>
    <row r="24" spans="1:9" ht="45">
      <c r="A24" s="280" t="s">
        <v>300</v>
      </c>
      <c r="B24" s="281" t="s">
        <v>301</v>
      </c>
      <c r="C24" s="282">
        <v>0</v>
      </c>
      <c r="D24" s="282">
        <v>0</v>
      </c>
      <c r="E24" s="282">
        <v>0</v>
      </c>
      <c r="F24" s="282">
        <v>0</v>
      </c>
      <c r="G24" s="282">
        <v>0</v>
      </c>
      <c r="H24" s="282">
        <v>0</v>
      </c>
      <c r="I24" s="282">
        <v>582</v>
      </c>
    </row>
    <row r="25" spans="1:9">
      <c r="A25" s="280" t="s">
        <v>182</v>
      </c>
      <c r="B25" s="281" t="s">
        <v>302</v>
      </c>
      <c r="C25" s="282">
        <v>1784</v>
      </c>
      <c r="D25" s="282">
        <v>6882</v>
      </c>
      <c r="E25" s="282">
        <v>0</v>
      </c>
      <c r="F25" s="282">
        <v>6462</v>
      </c>
      <c r="G25" s="282">
        <v>0</v>
      </c>
      <c r="H25" s="282">
        <v>0</v>
      </c>
      <c r="I25" s="282">
        <v>6462</v>
      </c>
    </row>
    <row r="26" spans="1:9">
      <c r="A26" s="280" t="s">
        <v>303</v>
      </c>
      <c r="B26" s="281" t="s">
        <v>304</v>
      </c>
      <c r="C26" s="282">
        <v>87070</v>
      </c>
      <c r="D26" s="282">
        <v>64680</v>
      </c>
      <c r="E26" s="282">
        <v>0</v>
      </c>
      <c r="F26" s="282">
        <v>63579</v>
      </c>
      <c r="G26" s="282">
        <v>0</v>
      </c>
      <c r="H26" s="282">
        <v>512</v>
      </c>
      <c r="I26" s="282">
        <v>63579</v>
      </c>
    </row>
    <row r="27" spans="1:9">
      <c r="A27" s="280" t="s">
        <v>305</v>
      </c>
      <c r="B27" s="281" t="s">
        <v>306</v>
      </c>
      <c r="C27" s="282">
        <v>0</v>
      </c>
      <c r="D27" s="282">
        <v>350</v>
      </c>
      <c r="E27" s="282">
        <v>0</v>
      </c>
      <c r="F27" s="282">
        <v>0</v>
      </c>
      <c r="G27" s="282">
        <v>0</v>
      </c>
      <c r="H27" s="282">
        <v>0</v>
      </c>
      <c r="I27" s="282">
        <v>0</v>
      </c>
    </row>
    <row r="28" spans="1:9">
      <c r="A28" s="283" t="s">
        <v>307</v>
      </c>
      <c r="B28" s="284" t="s">
        <v>308</v>
      </c>
      <c r="C28" s="285">
        <v>88854</v>
      </c>
      <c r="D28" s="285">
        <v>71912</v>
      </c>
      <c r="E28" s="285">
        <v>0</v>
      </c>
      <c r="F28" s="285">
        <v>70041</v>
      </c>
      <c r="G28" s="285">
        <v>0</v>
      </c>
      <c r="H28" s="285">
        <v>512</v>
      </c>
      <c r="I28" s="285">
        <v>70041</v>
      </c>
    </row>
    <row r="29" spans="1:9">
      <c r="A29" s="280" t="s">
        <v>309</v>
      </c>
      <c r="B29" s="281" t="s">
        <v>310</v>
      </c>
      <c r="C29" s="282">
        <v>3427</v>
      </c>
      <c r="D29" s="282">
        <v>2815</v>
      </c>
      <c r="E29" s="282">
        <v>0</v>
      </c>
      <c r="F29" s="282">
        <v>1501</v>
      </c>
      <c r="G29" s="282">
        <v>4</v>
      </c>
      <c r="H29" s="282">
        <v>18</v>
      </c>
      <c r="I29" s="282">
        <v>1311</v>
      </c>
    </row>
    <row r="30" spans="1:9">
      <c r="A30" s="280" t="s">
        <v>184</v>
      </c>
      <c r="B30" s="281" t="s">
        <v>311</v>
      </c>
      <c r="C30" s="282">
        <v>2752</v>
      </c>
      <c r="D30" s="282">
        <v>2091</v>
      </c>
      <c r="E30" s="282">
        <v>0</v>
      </c>
      <c r="F30" s="282">
        <v>1913</v>
      </c>
      <c r="G30" s="282">
        <v>0</v>
      </c>
      <c r="H30" s="282">
        <v>0</v>
      </c>
      <c r="I30" s="282">
        <v>1913</v>
      </c>
    </row>
    <row r="31" spans="1:9">
      <c r="A31" s="283" t="s">
        <v>312</v>
      </c>
      <c r="B31" s="284" t="s">
        <v>313</v>
      </c>
      <c r="C31" s="285">
        <v>6179</v>
      </c>
      <c r="D31" s="285">
        <v>4906</v>
      </c>
      <c r="E31" s="285">
        <v>0</v>
      </c>
      <c r="F31" s="285">
        <v>3414</v>
      </c>
      <c r="G31" s="285">
        <v>4</v>
      </c>
      <c r="H31" s="285">
        <v>18</v>
      </c>
      <c r="I31" s="285">
        <v>3224</v>
      </c>
    </row>
    <row r="32" spans="1:9">
      <c r="A32" s="280" t="s">
        <v>314</v>
      </c>
      <c r="B32" s="281" t="s">
        <v>315</v>
      </c>
      <c r="C32" s="282">
        <v>31120</v>
      </c>
      <c r="D32" s="282">
        <v>33334</v>
      </c>
      <c r="E32" s="282">
        <v>0</v>
      </c>
      <c r="F32" s="282">
        <v>33119</v>
      </c>
      <c r="G32" s="282">
        <v>0</v>
      </c>
      <c r="H32" s="282">
        <v>843</v>
      </c>
      <c r="I32" s="282">
        <v>33119</v>
      </c>
    </row>
    <row r="33" spans="1:9">
      <c r="A33" s="280" t="s">
        <v>316</v>
      </c>
      <c r="B33" s="281" t="s">
        <v>317</v>
      </c>
      <c r="C33" s="282">
        <v>0</v>
      </c>
      <c r="D33" s="282">
        <v>3424</v>
      </c>
      <c r="E33" s="282">
        <v>0</v>
      </c>
      <c r="F33" s="282">
        <v>3424</v>
      </c>
      <c r="G33" s="282">
        <v>0</v>
      </c>
      <c r="H33" s="282">
        <v>0</v>
      </c>
      <c r="I33" s="282">
        <v>3424</v>
      </c>
    </row>
    <row r="34" spans="1:9">
      <c r="A34" s="280" t="s">
        <v>318</v>
      </c>
      <c r="B34" s="281" t="s">
        <v>319</v>
      </c>
      <c r="C34" s="282">
        <v>0</v>
      </c>
      <c r="D34" s="282">
        <v>1529</v>
      </c>
      <c r="E34" s="282">
        <v>0</v>
      </c>
      <c r="F34" s="282">
        <v>1489</v>
      </c>
      <c r="G34" s="282">
        <v>0</v>
      </c>
      <c r="H34" s="282">
        <v>0</v>
      </c>
      <c r="I34" s="282">
        <v>1489</v>
      </c>
    </row>
    <row r="35" spans="1:9">
      <c r="A35" s="280" t="s">
        <v>320</v>
      </c>
      <c r="B35" s="281" t="s">
        <v>321</v>
      </c>
      <c r="C35" s="282">
        <v>79240</v>
      </c>
      <c r="D35" s="282">
        <v>12071</v>
      </c>
      <c r="E35" s="282">
        <v>0</v>
      </c>
      <c r="F35" s="282">
        <v>11566</v>
      </c>
      <c r="G35" s="282">
        <v>0</v>
      </c>
      <c r="H35" s="282">
        <v>0</v>
      </c>
      <c r="I35" s="282">
        <v>11566</v>
      </c>
    </row>
    <row r="36" spans="1:9">
      <c r="A36" s="280" t="s">
        <v>186</v>
      </c>
      <c r="B36" s="281" t="s">
        <v>322</v>
      </c>
      <c r="C36" s="282">
        <v>553</v>
      </c>
      <c r="D36" s="282">
        <v>3922</v>
      </c>
      <c r="E36" s="282">
        <v>0</v>
      </c>
      <c r="F36" s="282">
        <v>3840</v>
      </c>
      <c r="G36" s="282">
        <v>0</v>
      </c>
      <c r="H36" s="282">
        <v>0</v>
      </c>
      <c r="I36" s="282">
        <v>3840</v>
      </c>
    </row>
    <row r="37" spans="1:9">
      <c r="A37" s="280" t="s">
        <v>323</v>
      </c>
      <c r="B37" s="281" t="s">
        <v>324</v>
      </c>
      <c r="C37" s="282">
        <v>75764</v>
      </c>
      <c r="D37" s="282">
        <v>30315</v>
      </c>
      <c r="E37" s="282">
        <v>0</v>
      </c>
      <c r="F37" s="282">
        <v>30165</v>
      </c>
      <c r="G37" s="282">
        <v>0</v>
      </c>
      <c r="H37" s="282">
        <v>185</v>
      </c>
      <c r="I37" s="282">
        <v>30154</v>
      </c>
    </row>
    <row r="38" spans="1:9">
      <c r="A38" s="283" t="s">
        <v>325</v>
      </c>
      <c r="B38" s="284" t="s">
        <v>326</v>
      </c>
      <c r="C38" s="285">
        <v>186677</v>
      </c>
      <c r="D38" s="285">
        <v>84595</v>
      </c>
      <c r="E38" s="285">
        <v>0</v>
      </c>
      <c r="F38" s="285">
        <v>83603</v>
      </c>
      <c r="G38" s="285">
        <v>0</v>
      </c>
      <c r="H38" s="285">
        <v>1028</v>
      </c>
      <c r="I38" s="285">
        <v>83592</v>
      </c>
    </row>
    <row r="39" spans="1:9">
      <c r="A39" s="280" t="s">
        <v>327</v>
      </c>
      <c r="B39" s="281" t="s">
        <v>328</v>
      </c>
      <c r="C39" s="282">
        <v>433</v>
      </c>
      <c r="D39" s="282">
        <v>1290</v>
      </c>
      <c r="E39" s="282">
        <v>0</v>
      </c>
      <c r="F39" s="282">
        <v>1226</v>
      </c>
      <c r="G39" s="282">
        <v>0</v>
      </c>
      <c r="H39" s="282">
        <v>0</v>
      </c>
      <c r="I39" s="282">
        <v>1226</v>
      </c>
    </row>
    <row r="40" spans="1:9">
      <c r="A40" s="283" t="s">
        <v>329</v>
      </c>
      <c r="B40" s="284" t="s">
        <v>330</v>
      </c>
      <c r="C40" s="285">
        <v>433</v>
      </c>
      <c r="D40" s="285">
        <v>1290</v>
      </c>
      <c r="E40" s="285">
        <v>0</v>
      </c>
      <c r="F40" s="285">
        <v>1226</v>
      </c>
      <c r="G40" s="285">
        <v>0</v>
      </c>
      <c r="H40" s="285">
        <v>0</v>
      </c>
      <c r="I40" s="285">
        <v>1226</v>
      </c>
    </row>
    <row r="41" spans="1:9" ht="30">
      <c r="A41" s="280" t="s">
        <v>331</v>
      </c>
      <c r="B41" s="281" t="s">
        <v>332</v>
      </c>
      <c r="C41" s="282">
        <v>35716</v>
      </c>
      <c r="D41" s="282">
        <v>53050</v>
      </c>
      <c r="E41" s="282">
        <v>0</v>
      </c>
      <c r="F41" s="282">
        <v>52701</v>
      </c>
      <c r="G41" s="282">
        <v>1</v>
      </c>
      <c r="H41" s="282">
        <v>346</v>
      </c>
      <c r="I41" s="282">
        <v>52646</v>
      </c>
    </row>
    <row r="42" spans="1:9">
      <c r="A42" s="280" t="s">
        <v>190</v>
      </c>
      <c r="B42" s="281" t="s">
        <v>333</v>
      </c>
      <c r="C42" s="282">
        <v>0</v>
      </c>
      <c r="D42" s="282">
        <v>5268</v>
      </c>
      <c r="E42" s="282">
        <v>0</v>
      </c>
      <c r="F42" s="282">
        <v>5268</v>
      </c>
      <c r="G42" s="282">
        <v>0</v>
      </c>
      <c r="H42" s="282">
        <v>0</v>
      </c>
      <c r="I42" s="282">
        <v>5268</v>
      </c>
    </row>
    <row r="43" spans="1:9">
      <c r="A43" s="280" t="s">
        <v>192</v>
      </c>
      <c r="B43" s="281" t="s">
        <v>334</v>
      </c>
      <c r="C43" s="282">
        <v>0</v>
      </c>
      <c r="D43" s="282">
        <v>15</v>
      </c>
      <c r="E43" s="282">
        <v>0</v>
      </c>
      <c r="F43" s="282">
        <v>15</v>
      </c>
      <c r="G43" s="282">
        <v>0</v>
      </c>
      <c r="H43" s="282">
        <v>0</v>
      </c>
      <c r="I43" s="282">
        <v>15</v>
      </c>
    </row>
    <row r="44" spans="1:9">
      <c r="A44" s="280" t="s">
        <v>335</v>
      </c>
      <c r="B44" s="281" t="s">
        <v>336</v>
      </c>
      <c r="C44" s="282">
        <v>23114</v>
      </c>
      <c r="D44" s="282">
        <v>13550</v>
      </c>
      <c r="E44" s="282">
        <v>0</v>
      </c>
      <c r="F44" s="282">
        <v>9791</v>
      </c>
      <c r="G44" s="282">
        <v>0</v>
      </c>
      <c r="H44" s="282">
        <v>0</v>
      </c>
      <c r="I44" s="282">
        <v>9791</v>
      </c>
    </row>
    <row r="45" spans="1:9" ht="30">
      <c r="A45" s="283" t="s">
        <v>337</v>
      </c>
      <c r="B45" s="284" t="s">
        <v>338</v>
      </c>
      <c r="C45" s="285">
        <v>58830</v>
      </c>
      <c r="D45" s="285">
        <v>71883</v>
      </c>
      <c r="E45" s="285">
        <v>0</v>
      </c>
      <c r="F45" s="285">
        <v>67775</v>
      </c>
      <c r="G45" s="285">
        <v>1</v>
      </c>
      <c r="H45" s="285">
        <v>346</v>
      </c>
      <c r="I45" s="285">
        <v>67720</v>
      </c>
    </row>
    <row r="46" spans="1:9">
      <c r="A46" s="283" t="s">
        <v>339</v>
      </c>
      <c r="B46" s="284" t="s">
        <v>340</v>
      </c>
      <c r="C46" s="285">
        <v>340973</v>
      </c>
      <c r="D46" s="285">
        <v>234586</v>
      </c>
      <c r="E46" s="285">
        <v>0</v>
      </c>
      <c r="F46" s="285">
        <v>226059</v>
      </c>
      <c r="G46" s="285">
        <v>5</v>
      </c>
      <c r="H46" s="285">
        <v>1904</v>
      </c>
      <c r="I46" s="285">
        <v>225803</v>
      </c>
    </row>
    <row r="47" spans="1:9">
      <c r="A47" s="280" t="s">
        <v>198</v>
      </c>
      <c r="B47" s="281" t="s">
        <v>341</v>
      </c>
      <c r="C47" s="282">
        <v>220</v>
      </c>
      <c r="D47" s="282">
        <v>290</v>
      </c>
      <c r="E47" s="282">
        <v>0</v>
      </c>
      <c r="F47" s="282">
        <v>290</v>
      </c>
      <c r="G47" s="282">
        <v>0</v>
      </c>
      <c r="H47" s="282">
        <v>0</v>
      </c>
      <c r="I47" s="282">
        <v>290</v>
      </c>
    </row>
    <row r="48" spans="1:9">
      <c r="A48" s="280" t="s">
        <v>342</v>
      </c>
      <c r="B48" s="281" t="s">
        <v>343</v>
      </c>
      <c r="C48" s="282">
        <v>0</v>
      </c>
      <c r="D48" s="282">
        <v>0</v>
      </c>
      <c r="E48" s="282">
        <v>0</v>
      </c>
      <c r="F48" s="282">
        <v>0</v>
      </c>
      <c r="G48" s="282">
        <v>0</v>
      </c>
      <c r="H48" s="282">
        <v>0</v>
      </c>
      <c r="I48" s="282">
        <v>290</v>
      </c>
    </row>
    <row r="49" spans="1:9" ht="30">
      <c r="A49" s="280" t="s">
        <v>344</v>
      </c>
      <c r="B49" s="281" t="s">
        <v>345</v>
      </c>
      <c r="C49" s="282">
        <v>421</v>
      </c>
      <c r="D49" s="282">
        <v>421</v>
      </c>
      <c r="E49" s="282">
        <v>0</v>
      </c>
      <c r="F49" s="282">
        <v>0</v>
      </c>
      <c r="G49" s="282">
        <v>0</v>
      </c>
      <c r="H49" s="282">
        <v>0</v>
      </c>
      <c r="I49" s="282">
        <v>0</v>
      </c>
    </row>
    <row r="50" spans="1:9" ht="30">
      <c r="A50" s="280" t="s">
        <v>346</v>
      </c>
      <c r="B50" s="281" t="s">
        <v>347</v>
      </c>
      <c r="C50" s="282">
        <v>5400</v>
      </c>
      <c r="D50" s="282">
        <v>5419</v>
      </c>
      <c r="E50" s="282">
        <v>0</v>
      </c>
      <c r="F50" s="282">
        <v>5419</v>
      </c>
      <c r="G50" s="282">
        <v>0</v>
      </c>
      <c r="H50" s="282">
        <v>0</v>
      </c>
      <c r="I50" s="282">
        <v>5419</v>
      </c>
    </row>
    <row r="51" spans="1:9" ht="30">
      <c r="A51" s="280" t="s">
        <v>348</v>
      </c>
      <c r="B51" s="281" t="s">
        <v>349</v>
      </c>
      <c r="C51" s="282">
        <v>0</v>
      </c>
      <c r="D51" s="282">
        <v>0</v>
      </c>
      <c r="E51" s="282">
        <v>0</v>
      </c>
      <c r="F51" s="282">
        <v>0</v>
      </c>
      <c r="G51" s="282">
        <v>0</v>
      </c>
      <c r="H51" s="282">
        <v>0</v>
      </c>
      <c r="I51" s="282">
        <v>5419</v>
      </c>
    </row>
    <row r="52" spans="1:9">
      <c r="A52" s="280" t="s">
        <v>350</v>
      </c>
      <c r="B52" s="281" t="s">
        <v>351</v>
      </c>
      <c r="C52" s="282">
        <v>13863</v>
      </c>
      <c r="D52" s="282">
        <v>13863</v>
      </c>
      <c r="E52" s="282">
        <v>0</v>
      </c>
      <c r="F52" s="282">
        <v>12223</v>
      </c>
      <c r="G52" s="282">
        <v>0</v>
      </c>
      <c r="H52" s="282">
        <v>0</v>
      </c>
      <c r="I52" s="282">
        <v>12223</v>
      </c>
    </row>
    <row r="53" spans="1:9" ht="30">
      <c r="A53" s="280" t="s">
        <v>352</v>
      </c>
      <c r="B53" s="281" t="s">
        <v>353</v>
      </c>
      <c r="C53" s="282">
        <v>0</v>
      </c>
      <c r="D53" s="282">
        <v>0</v>
      </c>
      <c r="E53" s="282">
        <v>0</v>
      </c>
      <c r="F53" s="282">
        <v>0</v>
      </c>
      <c r="G53" s="282">
        <v>0</v>
      </c>
      <c r="H53" s="282">
        <v>0</v>
      </c>
      <c r="I53" s="282">
        <v>12223</v>
      </c>
    </row>
    <row r="54" spans="1:9">
      <c r="A54" s="280" t="s">
        <v>354</v>
      </c>
      <c r="B54" s="281" t="s">
        <v>355</v>
      </c>
      <c r="C54" s="282">
        <v>5580</v>
      </c>
      <c r="D54" s="282">
        <v>5580</v>
      </c>
      <c r="E54" s="282">
        <v>0</v>
      </c>
      <c r="F54" s="282">
        <v>650</v>
      </c>
      <c r="G54" s="282">
        <v>0</v>
      </c>
      <c r="H54" s="282">
        <v>0</v>
      </c>
      <c r="I54" s="282">
        <v>650</v>
      </c>
    </row>
    <row r="55" spans="1:9">
      <c r="A55" s="280" t="s">
        <v>356</v>
      </c>
      <c r="B55" s="281" t="s">
        <v>357</v>
      </c>
      <c r="C55" s="282">
        <v>0</v>
      </c>
      <c r="D55" s="282">
        <v>0</v>
      </c>
      <c r="E55" s="282">
        <v>0</v>
      </c>
      <c r="F55" s="282">
        <v>0</v>
      </c>
      <c r="G55" s="282">
        <v>0</v>
      </c>
      <c r="H55" s="282">
        <v>0</v>
      </c>
      <c r="I55" s="282">
        <v>650</v>
      </c>
    </row>
    <row r="56" spans="1:9">
      <c r="A56" s="280" t="s">
        <v>358</v>
      </c>
      <c r="B56" s="281" t="s">
        <v>359</v>
      </c>
      <c r="C56" s="282">
        <v>8690</v>
      </c>
      <c r="D56" s="282">
        <v>15556</v>
      </c>
      <c r="E56" s="282">
        <v>0</v>
      </c>
      <c r="F56" s="282">
        <v>15556</v>
      </c>
      <c r="G56" s="282">
        <v>0</v>
      </c>
      <c r="H56" s="282">
        <v>0</v>
      </c>
      <c r="I56" s="282">
        <v>15556</v>
      </c>
    </row>
    <row r="57" spans="1:9" ht="30">
      <c r="A57" s="280" t="s">
        <v>360</v>
      </c>
      <c r="B57" s="281" t="s">
        <v>361</v>
      </c>
      <c r="C57" s="282">
        <v>0</v>
      </c>
      <c r="D57" s="282">
        <v>0</v>
      </c>
      <c r="E57" s="282">
        <v>0</v>
      </c>
      <c r="F57" s="282">
        <v>0</v>
      </c>
      <c r="G57" s="282">
        <v>0</v>
      </c>
      <c r="H57" s="282">
        <v>0</v>
      </c>
      <c r="I57" s="282">
        <v>6732</v>
      </c>
    </row>
    <row r="58" spans="1:9">
      <c r="A58" s="280" t="s">
        <v>362</v>
      </c>
      <c r="B58" s="281" t="s">
        <v>363</v>
      </c>
      <c r="C58" s="282">
        <v>0</v>
      </c>
      <c r="D58" s="282">
        <v>0</v>
      </c>
      <c r="E58" s="282">
        <v>0</v>
      </c>
      <c r="F58" s="282">
        <v>0</v>
      </c>
      <c r="G58" s="282">
        <v>0</v>
      </c>
      <c r="H58" s="282">
        <v>0</v>
      </c>
      <c r="I58" s="282">
        <v>1655</v>
      </c>
    </row>
    <row r="59" spans="1:9" ht="30">
      <c r="A59" s="280" t="s">
        <v>364</v>
      </c>
      <c r="B59" s="281" t="s">
        <v>365</v>
      </c>
      <c r="C59" s="282">
        <v>0</v>
      </c>
      <c r="D59" s="282">
        <v>0</v>
      </c>
      <c r="E59" s="282">
        <v>0</v>
      </c>
      <c r="F59" s="282">
        <v>0</v>
      </c>
      <c r="G59" s="282">
        <v>0</v>
      </c>
      <c r="H59" s="282">
        <v>0</v>
      </c>
      <c r="I59" s="282">
        <v>3925</v>
      </c>
    </row>
    <row r="60" spans="1:9">
      <c r="A60" s="280" t="s">
        <v>366</v>
      </c>
      <c r="B60" s="281" t="s">
        <v>367</v>
      </c>
      <c r="C60" s="282">
        <v>0</v>
      </c>
      <c r="D60" s="282">
        <v>0</v>
      </c>
      <c r="E60" s="282">
        <v>0</v>
      </c>
      <c r="F60" s="282">
        <v>0</v>
      </c>
      <c r="G60" s="282">
        <v>0</v>
      </c>
      <c r="H60" s="282">
        <v>0</v>
      </c>
      <c r="I60" s="282">
        <v>171</v>
      </c>
    </row>
    <row r="61" spans="1:9" ht="45">
      <c r="A61" s="280" t="s">
        <v>368</v>
      </c>
      <c r="B61" s="281" t="s">
        <v>369</v>
      </c>
      <c r="C61" s="282">
        <v>0</v>
      </c>
      <c r="D61" s="282">
        <v>0</v>
      </c>
      <c r="E61" s="282">
        <v>0</v>
      </c>
      <c r="F61" s="282">
        <v>0</v>
      </c>
      <c r="G61" s="282">
        <v>0</v>
      </c>
      <c r="H61" s="282">
        <v>0</v>
      </c>
      <c r="I61" s="282">
        <v>3073</v>
      </c>
    </row>
    <row r="62" spans="1:9" ht="30">
      <c r="A62" s="283" t="s">
        <v>370</v>
      </c>
      <c r="B62" s="284" t="s">
        <v>371</v>
      </c>
      <c r="C62" s="285">
        <v>34174</v>
      </c>
      <c r="D62" s="285">
        <v>41129</v>
      </c>
      <c r="E62" s="285">
        <v>0</v>
      </c>
      <c r="F62" s="285">
        <v>34138</v>
      </c>
      <c r="G62" s="285">
        <v>0</v>
      </c>
      <c r="H62" s="285">
        <v>0</v>
      </c>
      <c r="I62" s="285">
        <v>34138</v>
      </c>
    </row>
    <row r="63" spans="1:9" ht="30">
      <c r="A63" s="280" t="s">
        <v>372</v>
      </c>
      <c r="B63" s="281" t="s">
        <v>373</v>
      </c>
      <c r="C63" s="282">
        <v>4411</v>
      </c>
      <c r="D63" s="282">
        <v>3219</v>
      </c>
      <c r="E63" s="282">
        <v>0</v>
      </c>
      <c r="F63" s="282">
        <v>3219</v>
      </c>
      <c r="G63" s="282">
        <v>0</v>
      </c>
      <c r="H63" s="282">
        <v>0</v>
      </c>
      <c r="I63" s="282">
        <v>3219</v>
      </c>
    </row>
    <row r="64" spans="1:9" ht="30">
      <c r="A64" s="280" t="s">
        <v>374</v>
      </c>
      <c r="B64" s="281" t="s">
        <v>375</v>
      </c>
      <c r="C64" s="282">
        <v>0</v>
      </c>
      <c r="D64" s="282">
        <v>450</v>
      </c>
      <c r="E64" s="282">
        <v>0</v>
      </c>
      <c r="F64" s="282">
        <v>450</v>
      </c>
      <c r="G64" s="282">
        <v>0</v>
      </c>
      <c r="H64" s="282">
        <v>0</v>
      </c>
      <c r="I64" s="282">
        <v>450</v>
      </c>
    </row>
    <row r="65" spans="1:9">
      <c r="A65" s="280" t="s">
        <v>376</v>
      </c>
      <c r="B65" s="281" t="s">
        <v>377</v>
      </c>
      <c r="C65" s="282">
        <v>0</v>
      </c>
      <c r="D65" s="282">
        <v>483</v>
      </c>
      <c r="E65" s="282">
        <v>0</v>
      </c>
      <c r="F65" s="282">
        <v>483</v>
      </c>
      <c r="G65" s="282">
        <v>0</v>
      </c>
      <c r="H65" s="282">
        <v>0</v>
      </c>
      <c r="I65" s="282">
        <v>483</v>
      </c>
    </row>
    <row r="66" spans="1:9">
      <c r="A66" s="280" t="s">
        <v>378</v>
      </c>
      <c r="B66" s="281" t="s">
        <v>379</v>
      </c>
      <c r="C66" s="282">
        <v>4411</v>
      </c>
      <c r="D66" s="282">
        <v>4152</v>
      </c>
      <c r="E66" s="282">
        <v>0</v>
      </c>
      <c r="F66" s="282">
        <v>4152</v>
      </c>
      <c r="G66" s="282">
        <v>0</v>
      </c>
      <c r="H66" s="282">
        <v>0</v>
      </c>
      <c r="I66" s="282">
        <v>4152</v>
      </c>
    </row>
    <row r="67" spans="1:9" ht="30">
      <c r="A67" s="280" t="s">
        <v>380</v>
      </c>
      <c r="B67" s="281" t="s">
        <v>381</v>
      </c>
      <c r="C67" s="282">
        <v>0</v>
      </c>
      <c r="D67" s="282">
        <v>109</v>
      </c>
      <c r="E67" s="282">
        <v>0</v>
      </c>
      <c r="F67" s="282">
        <v>109</v>
      </c>
      <c r="G67" s="282">
        <v>0</v>
      </c>
      <c r="H67" s="282">
        <v>0</v>
      </c>
      <c r="I67" s="282">
        <v>109</v>
      </c>
    </row>
    <row r="68" spans="1:9" ht="30">
      <c r="A68" s="280" t="s">
        <v>232</v>
      </c>
      <c r="B68" s="281" t="s">
        <v>382</v>
      </c>
      <c r="C68" s="282">
        <v>125264</v>
      </c>
      <c r="D68" s="282">
        <v>144906</v>
      </c>
      <c r="E68" s="282">
        <v>0</v>
      </c>
      <c r="F68" s="282">
        <v>121284</v>
      </c>
      <c r="G68" s="282">
        <v>0</v>
      </c>
      <c r="H68" s="282">
        <v>0</v>
      </c>
      <c r="I68" s="282">
        <v>121231</v>
      </c>
    </row>
    <row r="69" spans="1:9" ht="30">
      <c r="A69" s="280" t="s">
        <v>238</v>
      </c>
      <c r="B69" s="281" t="s">
        <v>383</v>
      </c>
      <c r="C69" s="282">
        <v>0</v>
      </c>
      <c r="D69" s="282">
        <v>0</v>
      </c>
      <c r="E69" s="282">
        <v>0</v>
      </c>
      <c r="F69" s="282">
        <v>0</v>
      </c>
      <c r="G69" s="282">
        <v>0</v>
      </c>
      <c r="H69" s="282">
        <v>0</v>
      </c>
      <c r="I69" s="282">
        <v>7505</v>
      </c>
    </row>
    <row r="70" spans="1:9">
      <c r="A70" s="280" t="s">
        <v>384</v>
      </c>
      <c r="B70" s="281" t="s">
        <v>385</v>
      </c>
      <c r="C70" s="282">
        <v>0</v>
      </c>
      <c r="D70" s="282">
        <v>0</v>
      </c>
      <c r="E70" s="282">
        <v>0</v>
      </c>
      <c r="F70" s="282">
        <v>0</v>
      </c>
      <c r="G70" s="282">
        <v>0</v>
      </c>
      <c r="H70" s="282">
        <v>0</v>
      </c>
      <c r="I70" s="282">
        <v>112281</v>
      </c>
    </row>
    <row r="71" spans="1:9" ht="30">
      <c r="A71" s="280" t="s">
        <v>240</v>
      </c>
      <c r="B71" s="281" t="s">
        <v>386</v>
      </c>
      <c r="C71" s="282">
        <v>0</v>
      </c>
      <c r="D71" s="282">
        <v>0</v>
      </c>
      <c r="E71" s="282">
        <v>0</v>
      </c>
      <c r="F71" s="282">
        <v>0</v>
      </c>
      <c r="G71" s="282">
        <v>0</v>
      </c>
      <c r="H71" s="282">
        <v>0</v>
      </c>
      <c r="I71" s="282">
        <v>1445</v>
      </c>
    </row>
    <row r="72" spans="1:9" ht="30">
      <c r="A72" s="280" t="s">
        <v>387</v>
      </c>
      <c r="B72" s="281" t="s">
        <v>388</v>
      </c>
      <c r="C72" s="282">
        <v>0</v>
      </c>
      <c r="D72" s="282">
        <v>320</v>
      </c>
      <c r="E72" s="282">
        <v>0</v>
      </c>
      <c r="F72" s="282">
        <v>320</v>
      </c>
      <c r="G72" s="282">
        <v>0</v>
      </c>
      <c r="H72" s="282">
        <v>0</v>
      </c>
      <c r="I72" s="282">
        <v>320</v>
      </c>
    </row>
    <row r="73" spans="1:9">
      <c r="A73" s="280" t="s">
        <v>248</v>
      </c>
      <c r="B73" s="281" t="s">
        <v>389</v>
      </c>
      <c r="C73" s="282">
        <v>0</v>
      </c>
      <c r="D73" s="282">
        <v>0</v>
      </c>
      <c r="E73" s="282">
        <v>0</v>
      </c>
      <c r="F73" s="282">
        <v>0</v>
      </c>
      <c r="G73" s="282">
        <v>0</v>
      </c>
      <c r="H73" s="282">
        <v>0</v>
      </c>
      <c r="I73" s="282">
        <v>320</v>
      </c>
    </row>
    <row r="74" spans="1:9" ht="30">
      <c r="A74" s="280" t="s">
        <v>390</v>
      </c>
      <c r="B74" s="281" t="s">
        <v>391</v>
      </c>
      <c r="C74" s="282">
        <v>0</v>
      </c>
      <c r="D74" s="282">
        <v>1170</v>
      </c>
      <c r="E74" s="282">
        <v>0</v>
      </c>
      <c r="F74" s="282">
        <v>1170</v>
      </c>
      <c r="G74" s="282">
        <v>0</v>
      </c>
      <c r="H74" s="282">
        <v>0</v>
      </c>
      <c r="I74" s="282">
        <v>1170</v>
      </c>
    </row>
    <row r="75" spans="1:9">
      <c r="A75" s="280" t="s">
        <v>392</v>
      </c>
      <c r="B75" s="281" t="s">
        <v>393</v>
      </c>
      <c r="C75" s="282">
        <v>0</v>
      </c>
      <c r="D75" s="282">
        <v>0</v>
      </c>
      <c r="E75" s="282">
        <v>0</v>
      </c>
      <c r="F75" s="282">
        <v>0</v>
      </c>
      <c r="G75" s="282">
        <v>0</v>
      </c>
      <c r="H75" s="282">
        <v>0</v>
      </c>
      <c r="I75" s="282">
        <v>1170</v>
      </c>
    </row>
    <row r="76" spans="1:9" ht="45">
      <c r="A76" s="283" t="s">
        <v>394</v>
      </c>
      <c r="B76" s="284" t="s">
        <v>395</v>
      </c>
      <c r="C76" s="285">
        <v>129675</v>
      </c>
      <c r="D76" s="285">
        <v>150657</v>
      </c>
      <c r="E76" s="285">
        <v>0</v>
      </c>
      <c r="F76" s="285">
        <v>127035</v>
      </c>
      <c r="G76" s="285">
        <v>0</v>
      </c>
      <c r="H76" s="285">
        <v>0</v>
      </c>
      <c r="I76" s="285">
        <v>126982</v>
      </c>
    </row>
    <row r="77" spans="1:9">
      <c r="A77" s="280" t="s">
        <v>396</v>
      </c>
      <c r="B77" s="281" t="s">
        <v>397</v>
      </c>
      <c r="C77" s="282">
        <v>0</v>
      </c>
      <c r="D77" s="282">
        <v>3236</v>
      </c>
      <c r="E77" s="282">
        <v>0</v>
      </c>
      <c r="F77" s="282">
        <v>3236</v>
      </c>
      <c r="G77" s="282">
        <v>0</v>
      </c>
      <c r="H77" s="282">
        <v>0</v>
      </c>
      <c r="I77" s="282">
        <v>3236</v>
      </c>
    </row>
    <row r="78" spans="1:9">
      <c r="A78" s="280" t="s">
        <v>398</v>
      </c>
      <c r="B78" s="281" t="s">
        <v>399</v>
      </c>
      <c r="C78" s="282">
        <v>19500</v>
      </c>
      <c r="D78" s="282">
        <v>52076</v>
      </c>
      <c r="E78" s="282">
        <v>0</v>
      </c>
      <c r="F78" s="282">
        <v>52076</v>
      </c>
      <c r="G78" s="282">
        <v>0</v>
      </c>
      <c r="H78" s="282">
        <v>0</v>
      </c>
      <c r="I78" s="282">
        <v>52076</v>
      </c>
    </row>
    <row r="79" spans="1:9" ht="30">
      <c r="A79" s="280" t="s">
        <v>400</v>
      </c>
      <c r="B79" s="281" t="s">
        <v>401</v>
      </c>
      <c r="C79" s="282">
        <v>0</v>
      </c>
      <c r="D79" s="282">
        <v>2149</v>
      </c>
      <c r="E79" s="282">
        <v>0</v>
      </c>
      <c r="F79" s="282">
        <v>2149</v>
      </c>
      <c r="G79" s="282">
        <v>0</v>
      </c>
      <c r="H79" s="282">
        <v>0</v>
      </c>
      <c r="I79" s="282">
        <v>2149</v>
      </c>
    </row>
    <row r="80" spans="1:9">
      <c r="A80" s="283" t="s">
        <v>402</v>
      </c>
      <c r="B80" s="284" t="s">
        <v>403</v>
      </c>
      <c r="C80" s="285">
        <v>19500</v>
      </c>
      <c r="D80" s="285">
        <v>57461</v>
      </c>
      <c r="E80" s="285">
        <v>0</v>
      </c>
      <c r="F80" s="285">
        <v>57461</v>
      </c>
      <c r="G80" s="285">
        <v>0</v>
      </c>
      <c r="H80" s="285">
        <v>0</v>
      </c>
      <c r="I80" s="285">
        <v>57461</v>
      </c>
    </row>
    <row r="81" spans="1:9">
      <c r="A81" s="280" t="s">
        <v>404</v>
      </c>
      <c r="B81" s="281" t="s">
        <v>405</v>
      </c>
      <c r="C81" s="282">
        <v>7500</v>
      </c>
      <c r="D81" s="282">
        <v>7261</v>
      </c>
      <c r="E81" s="282">
        <v>0</v>
      </c>
      <c r="F81" s="282">
        <v>4186</v>
      </c>
      <c r="G81" s="282">
        <v>0</v>
      </c>
      <c r="H81" s="282">
        <v>0</v>
      </c>
      <c r="I81" s="282">
        <v>4186</v>
      </c>
    </row>
    <row r="82" spans="1:9">
      <c r="A82" s="283" t="s">
        <v>406</v>
      </c>
      <c r="B82" s="284" t="s">
        <v>407</v>
      </c>
      <c r="C82" s="285">
        <v>7500</v>
      </c>
      <c r="D82" s="285">
        <v>7261</v>
      </c>
      <c r="E82" s="285">
        <v>0</v>
      </c>
      <c r="F82" s="285">
        <v>4186</v>
      </c>
      <c r="G82" s="285">
        <v>0</v>
      </c>
      <c r="H82" s="285">
        <v>0</v>
      </c>
      <c r="I82" s="285">
        <v>4186</v>
      </c>
    </row>
    <row r="83" spans="1:9">
      <c r="A83" s="280" t="s">
        <v>408</v>
      </c>
      <c r="B83" s="281" t="s">
        <v>409</v>
      </c>
      <c r="C83" s="282">
        <v>0</v>
      </c>
      <c r="D83" s="282">
        <v>7823</v>
      </c>
      <c r="E83" s="282">
        <v>0</v>
      </c>
      <c r="F83" s="282">
        <v>7823</v>
      </c>
      <c r="G83" s="282">
        <v>0</v>
      </c>
      <c r="H83" s="282">
        <v>0</v>
      </c>
      <c r="I83" s="282">
        <v>7823</v>
      </c>
    </row>
    <row r="84" spans="1:9" ht="30">
      <c r="A84" s="283" t="s">
        <v>410</v>
      </c>
      <c r="B84" s="284" t="s">
        <v>411</v>
      </c>
      <c r="C84" s="285">
        <v>0</v>
      </c>
      <c r="D84" s="285">
        <v>7823</v>
      </c>
      <c r="E84" s="285">
        <v>0</v>
      </c>
      <c r="F84" s="285">
        <v>7823</v>
      </c>
      <c r="G84" s="285">
        <v>0</v>
      </c>
      <c r="H84" s="285">
        <v>0</v>
      </c>
      <c r="I84" s="285">
        <v>7823</v>
      </c>
    </row>
    <row r="85" spans="1:9" ht="30">
      <c r="A85" s="283" t="s">
        <v>412</v>
      </c>
      <c r="B85" s="284" t="s">
        <v>413</v>
      </c>
      <c r="C85" s="285">
        <v>966322</v>
      </c>
      <c r="D85" s="285">
        <v>960317</v>
      </c>
      <c r="E85" s="285">
        <v>0</v>
      </c>
      <c r="F85" s="285">
        <v>885354</v>
      </c>
      <c r="G85" s="285">
        <v>5</v>
      </c>
      <c r="H85" s="285">
        <v>1904</v>
      </c>
      <c r="I85" s="285">
        <v>885045</v>
      </c>
    </row>
    <row r="89" spans="1:9">
      <c r="A89" s="278" t="str">
        <f>Tartalomjegyzék!A20</f>
        <v>Cibakháza, 2016. május 31.</v>
      </c>
    </row>
  </sheetData>
  <mergeCells count="1">
    <mergeCell ref="A3:I3"/>
  </mergeCells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59"/>
  <sheetViews>
    <sheetView workbookViewId="0">
      <pane ySplit="4" topLeftCell="A5" activePane="bottomLeft" state="frozen"/>
      <selection pane="bottomLeft" activeCell="E1" sqref="E1"/>
    </sheetView>
  </sheetViews>
  <sheetFormatPr defaultRowHeight="15"/>
  <cols>
    <col min="1" max="1" width="8.140625" style="278" customWidth="1"/>
    <col min="2" max="2" width="82" style="278" customWidth="1"/>
    <col min="3" max="5" width="19.140625" style="278" customWidth="1"/>
    <col min="6" max="256" width="9.140625" style="278"/>
    <col min="257" max="257" width="8.140625" style="278" customWidth="1"/>
    <col min="258" max="258" width="82" style="278" customWidth="1"/>
    <col min="259" max="261" width="19.140625" style="278" customWidth="1"/>
    <col min="262" max="512" width="9.140625" style="278"/>
    <col min="513" max="513" width="8.140625" style="278" customWidth="1"/>
    <col min="514" max="514" width="82" style="278" customWidth="1"/>
    <col min="515" max="517" width="19.140625" style="278" customWidth="1"/>
    <col min="518" max="768" width="9.140625" style="278"/>
    <col min="769" max="769" width="8.140625" style="278" customWidth="1"/>
    <col min="770" max="770" width="82" style="278" customWidth="1"/>
    <col min="771" max="773" width="19.140625" style="278" customWidth="1"/>
    <col min="774" max="1024" width="9.140625" style="278"/>
    <col min="1025" max="1025" width="8.140625" style="278" customWidth="1"/>
    <col min="1026" max="1026" width="82" style="278" customWidth="1"/>
    <col min="1027" max="1029" width="19.140625" style="278" customWidth="1"/>
    <col min="1030" max="1280" width="9.140625" style="278"/>
    <col min="1281" max="1281" width="8.140625" style="278" customWidth="1"/>
    <col min="1282" max="1282" width="82" style="278" customWidth="1"/>
    <col min="1283" max="1285" width="19.140625" style="278" customWidth="1"/>
    <col min="1286" max="1536" width="9.140625" style="278"/>
    <col min="1537" max="1537" width="8.140625" style="278" customWidth="1"/>
    <col min="1538" max="1538" width="82" style="278" customWidth="1"/>
    <col min="1539" max="1541" width="19.140625" style="278" customWidth="1"/>
    <col min="1542" max="1792" width="9.140625" style="278"/>
    <col min="1793" max="1793" width="8.140625" style="278" customWidth="1"/>
    <col min="1794" max="1794" width="82" style="278" customWidth="1"/>
    <col min="1795" max="1797" width="19.140625" style="278" customWidth="1"/>
    <col min="1798" max="2048" width="9.140625" style="278"/>
    <col min="2049" max="2049" width="8.140625" style="278" customWidth="1"/>
    <col min="2050" max="2050" width="82" style="278" customWidth="1"/>
    <col min="2051" max="2053" width="19.140625" style="278" customWidth="1"/>
    <col min="2054" max="2304" width="9.140625" style="278"/>
    <col min="2305" max="2305" width="8.140625" style="278" customWidth="1"/>
    <col min="2306" max="2306" width="82" style="278" customWidth="1"/>
    <col min="2307" max="2309" width="19.140625" style="278" customWidth="1"/>
    <col min="2310" max="2560" width="9.140625" style="278"/>
    <col min="2561" max="2561" width="8.140625" style="278" customWidth="1"/>
    <col min="2562" max="2562" width="82" style="278" customWidth="1"/>
    <col min="2563" max="2565" width="19.140625" style="278" customWidth="1"/>
    <col min="2566" max="2816" width="9.140625" style="278"/>
    <col min="2817" max="2817" width="8.140625" style="278" customWidth="1"/>
    <col min="2818" max="2818" width="82" style="278" customWidth="1"/>
    <col min="2819" max="2821" width="19.140625" style="278" customWidth="1"/>
    <col min="2822" max="3072" width="9.140625" style="278"/>
    <col min="3073" max="3073" width="8.140625" style="278" customWidth="1"/>
    <col min="3074" max="3074" width="82" style="278" customWidth="1"/>
    <col min="3075" max="3077" width="19.140625" style="278" customWidth="1"/>
    <col min="3078" max="3328" width="9.140625" style="278"/>
    <col min="3329" max="3329" width="8.140625" style="278" customWidth="1"/>
    <col min="3330" max="3330" width="82" style="278" customWidth="1"/>
    <col min="3331" max="3333" width="19.140625" style="278" customWidth="1"/>
    <col min="3334" max="3584" width="9.140625" style="278"/>
    <col min="3585" max="3585" width="8.140625" style="278" customWidth="1"/>
    <col min="3586" max="3586" width="82" style="278" customWidth="1"/>
    <col min="3587" max="3589" width="19.140625" style="278" customWidth="1"/>
    <col min="3590" max="3840" width="9.140625" style="278"/>
    <col min="3841" max="3841" width="8.140625" style="278" customWidth="1"/>
    <col min="3842" max="3842" width="82" style="278" customWidth="1"/>
    <col min="3843" max="3845" width="19.140625" style="278" customWidth="1"/>
    <col min="3846" max="4096" width="9.140625" style="278"/>
    <col min="4097" max="4097" width="8.140625" style="278" customWidth="1"/>
    <col min="4098" max="4098" width="82" style="278" customWidth="1"/>
    <col min="4099" max="4101" width="19.140625" style="278" customWidth="1"/>
    <col min="4102" max="4352" width="9.140625" style="278"/>
    <col min="4353" max="4353" width="8.140625" style="278" customWidth="1"/>
    <col min="4354" max="4354" width="82" style="278" customWidth="1"/>
    <col min="4355" max="4357" width="19.140625" style="278" customWidth="1"/>
    <col min="4358" max="4608" width="9.140625" style="278"/>
    <col min="4609" max="4609" width="8.140625" style="278" customWidth="1"/>
    <col min="4610" max="4610" width="82" style="278" customWidth="1"/>
    <col min="4611" max="4613" width="19.140625" style="278" customWidth="1"/>
    <col min="4614" max="4864" width="9.140625" style="278"/>
    <col min="4865" max="4865" width="8.140625" style="278" customWidth="1"/>
    <col min="4866" max="4866" width="82" style="278" customWidth="1"/>
    <col min="4867" max="4869" width="19.140625" style="278" customWidth="1"/>
    <col min="4870" max="5120" width="9.140625" style="278"/>
    <col min="5121" max="5121" width="8.140625" style="278" customWidth="1"/>
    <col min="5122" max="5122" width="82" style="278" customWidth="1"/>
    <col min="5123" max="5125" width="19.140625" style="278" customWidth="1"/>
    <col min="5126" max="5376" width="9.140625" style="278"/>
    <col min="5377" max="5377" width="8.140625" style="278" customWidth="1"/>
    <col min="5378" max="5378" width="82" style="278" customWidth="1"/>
    <col min="5379" max="5381" width="19.140625" style="278" customWidth="1"/>
    <col min="5382" max="5632" width="9.140625" style="278"/>
    <col min="5633" max="5633" width="8.140625" style="278" customWidth="1"/>
    <col min="5634" max="5634" width="82" style="278" customWidth="1"/>
    <col min="5635" max="5637" width="19.140625" style="278" customWidth="1"/>
    <col min="5638" max="5888" width="9.140625" style="278"/>
    <col min="5889" max="5889" width="8.140625" style="278" customWidth="1"/>
    <col min="5890" max="5890" width="82" style="278" customWidth="1"/>
    <col min="5891" max="5893" width="19.140625" style="278" customWidth="1"/>
    <col min="5894" max="6144" width="9.140625" style="278"/>
    <col min="6145" max="6145" width="8.140625" style="278" customWidth="1"/>
    <col min="6146" max="6146" width="82" style="278" customWidth="1"/>
    <col min="6147" max="6149" width="19.140625" style="278" customWidth="1"/>
    <col min="6150" max="6400" width="9.140625" style="278"/>
    <col min="6401" max="6401" width="8.140625" style="278" customWidth="1"/>
    <col min="6402" max="6402" width="82" style="278" customWidth="1"/>
    <col min="6403" max="6405" width="19.140625" style="278" customWidth="1"/>
    <col min="6406" max="6656" width="9.140625" style="278"/>
    <col min="6657" max="6657" width="8.140625" style="278" customWidth="1"/>
    <col min="6658" max="6658" width="82" style="278" customWidth="1"/>
    <col min="6659" max="6661" width="19.140625" style="278" customWidth="1"/>
    <col min="6662" max="6912" width="9.140625" style="278"/>
    <col min="6913" max="6913" width="8.140625" style="278" customWidth="1"/>
    <col min="6914" max="6914" width="82" style="278" customWidth="1"/>
    <col min="6915" max="6917" width="19.140625" style="278" customWidth="1"/>
    <col min="6918" max="7168" width="9.140625" style="278"/>
    <col min="7169" max="7169" width="8.140625" style="278" customWidth="1"/>
    <col min="7170" max="7170" width="82" style="278" customWidth="1"/>
    <col min="7171" max="7173" width="19.140625" style="278" customWidth="1"/>
    <col min="7174" max="7424" width="9.140625" style="278"/>
    <col min="7425" max="7425" width="8.140625" style="278" customWidth="1"/>
    <col min="7426" max="7426" width="82" style="278" customWidth="1"/>
    <col min="7427" max="7429" width="19.140625" style="278" customWidth="1"/>
    <col min="7430" max="7680" width="9.140625" style="278"/>
    <col min="7681" max="7681" width="8.140625" style="278" customWidth="1"/>
    <col min="7682" max="7682" width="82" style="278" customWidth="1"/>
    <col min="7683" max="7685" width="19.140625" style="278" customWidth="1"/>
    <col min="7686" max="7936" width="9.140625" style="278"/>
    <col min="7937" max="7937" width="8.140625" style="278" customWidth="1"/>
    <col min="7938" max="7938" width="82" style="278" customWidth="1"/>
    <col min="7939" max="7941" width="19.140625" style="278" customWidth="1"/>
    <col min="7942" max="8192" width="9.140625" style="278"/>
    <col min="8193" max="8193" width="8.140625" style="278" customWidth="1"/>
    <col min="8194" max="8194" width="82" style="278" customWidth="1"/>
    <col min="8195" max="8197" width="19.140625" style="278" customWidth="1"/>
    <col min="8198" max="8448" width="9.140625" style="278"/>
    <col min="8449" max="8449" width="8.140625" style="278" customWidth="1"/>
    <col min="8450" max="8450" width="82" style="278" customWidth="1"/>
    <col min="8451" max="8453" width="19.140625" style="278" customWidth="1"/>
    <col min="8454" max="8704" width="9.140625" style="278"/>
    <col min="8705" max="8705" width="8.140625" style="278" customWidth="1"/>
    <col min="8706" max="8706" width="82" style="278" customWidth="1"/>
    <col min="8707" max="8709" width="19.140625" style="278" customWidth="1"/>
    <col min="8710" max="8960" width="9.140625" style="278"/>
    <col min="8961" max="8961" width="8.140625" style="278" customWidth="1"/>
    <col min="8962" max="8962" width="82" style="278" customWidth="1"/>
    <col min="8963" max="8965" width="19.140625" style="278" customWidth="1"/>
    <col min="8966" max="9216" width="9.140625" style="278"/>
    <col min="9217" max="9217" width="8.140625" style="278" customWidth="1"/>
    <col min="9218" max="9218" width="82" style="278" customWidth="1"/>
    <col min="9219" max="9221" width="19.140625" style="278" customWidth="1"/>
    <col min="9222" max="9472" width="9.140625" style="278"/>
    <col min="9473" max="9473" width="8.140625" style="278" customWidth="1"/>
    <col min="9474" max="9474" width="82" style="278" customWidth="1"/>
    <col min="9475" max="9477" width="19.140625" style="278" customWidth="1"/>
    <col min="9478" max="9728" width="9.140625" style="278"/>
    <col min="9729" max="9729" width="8.140625" style="278" customWidth="1"/>
    <col min="9730" max="9730" width="82" style="278" customWidth="1"/>
    <col min="9731" max="9733" width="19.140625" style="278" customWidth="1"/>
    <col min="9734" max="9984" width="9.140625" style="278"/>
    <col min="9985" max="9985" width="8.140625" style="278" customWidth="1"/>
    <col min="9986" max="9986" width="82" style="278" customWidth="1"/>
    <col min="9987" max="9989" width="19.140625" style="278" customWidth="1"/>
    <col min="9990" max="10240" width="9.140625" style="278"/>
    <col min="10241" max="10241" width="8.140625" style="278" customWidth="1"/>
    <col min="10242" max="10242" width="82" style="278" customWidth="1"/>
    <col min="10243" max="10245" width="19.140625" style="278" customWidth="1"/>
    <col min="10246" max="10496" width="9.140625" style="278"/>
    <col min="10497" max="10497" width="8.140625" style="278" customWidth="1"/>
    <col min="10498" max="10498" width="82" style="278" customWidth="1"/>
    <col min="10499" max="10501" width="19.140625" style="278" customWidth="1"/>
    <col min="10502" max="10752" width="9.140625" style="278"/>
    <col min="10753" max="10753" width="8.140625" style="278" customWidth="1"/>
    <col min="10754" max="10754" width="82" style="278" customWidth="1"/>
    <col min="10755" max="10757" width="19.140625" style="278" customWidth="1"/>
    <col min="10758" max="11008" width="9.140625" style="278"/>
    <col min="11009" max="11009" width="8.140625" style="278" customWidth="1"/>
    <col min="11010" max="11010" width="82" style="278" customWidth="1"/>
    <col min="11011" max="11013" width="19.140625" style="278" customWidth="1"/>
    <col min="11014" max="11264" width="9.140625" style="278"/>
    <col min="11265" max="11265" width="8.140625" style="278" customWidth="1"/>
    <col min="11266" max="11266" width="82" style="278" customWidth="1"/>
    <col min="11267" max="11269" width="19.140625" style="278" customWidth="1"/>
    <col min="11270" max="11520" width="9.140625" style="278"/>
    <col min="11521" max="11521" width="8.140625" style="278" customWidth="1"/>
    <col min="11522" max="11522" width="82" style="278" customWidth="1"/>
    <col min="11523" max="11525" width="19.140625" style="278" customWidth="1"/>
    <col min="11526" max="11776" width="9.140625" style="278"/>
    <col min="11777" max="11777" width="8.140625" style="278" customWidth="1"/>
    <col min="11778" max="11778" width="82" style="278" customWidth="1"/>
    <col min="11779" max="11781" width="19.140625" style="278" customWidth="1"/>
    <col min="11782" max="12032" width="9.140625" style="278"/>
    <col min="12033" max="12033" width="8.140625" style="278" customWidth="1"/>
    <col min="12034" max="12034" width="82" style="278" customWidth="1"/>
    <col min="12035" max="12037" width="19.140625" style="278" customWidth="1"/>
    <col min="12038" max="12288" width="9.140625" style="278"/>
    <col min="12289" max="12289" width="8.140625" style="278" customWidth="1"/>
    <col min="12290" max="12290" width="82" style="278" customWidth="1"/>
    <col min="12291" max="12293" width="19.140625" style="278" customWidth="1"/>
    <col min="12294" max="12544" width="9.140625" style="278"/>
    <col min="12545" max="12545" width="8.140625" style="278" customWidth="1"/>
    <col min="12546" max="12546" width="82" style="278" customWidth="1"/>
    <col min="12547" max="12549" width="19.140625" style="278" customWidth="1"/>
    <col min="12550" max="12800" width="9.140625" style="278"/>
    <col min="12801" max="12801" width="8.140625" style="278" customWidth="1"/>
    <col min="12802" max="12802" width="82" style="278" customWidth="1"/>
    <col min="12803" max="12805" width="19.140625" style="278" customWidth="1"/>
    <col min="12806" max="13056" width="9.140625" style="278"/>
    <col min="13057" max="13057" width="8.140625" style="278" customWidth="1"/>
    <col min="13058" max="13058" width="82" style="278" customWidth="1"/>
    <col min="13059" max="13061" width="19.140625" style="278" customWidth="1"/>
    <col min="13062" max="13312" width="9.140625" style="278"/>
    <col min="13313" max="13313" width="8.140625" style="278" customWidth="1"/>
    <col min="13314" max="13314" width="82" style="278" customWidth="1"/>
    <col min="13315" max="13317" width="19.140625" style="278" customWidth="1"/>
    <col min="13318" max="13568" width="9.140625" style="278"/>
    <col min="13569" max="13569" width="8.140625" style="278" customWidth="1"/>
    <col min="13570" max="13570" width="82" style="278" customWidth="1"/>
    <col min="13571" max="13573" width="19.140625" style="278" customWidth="1"/>
    <col min="13574" max="13824" width="9.140625" style="278"/>
    <col min="13825" max="13825" width="8.140625" style="278" customWidth="1"/>
    <col min="13826" max="13826" width="82" style="278" customWidth="1"/>
    <col min="13827" max="13829" width="19.140625" style="278" customWidth="1"/>
    <col min="13830" max="14080" width="9.140625" style="278"/>
    <col min="14081" max="14081" width="8.140625" style="278" customWidth="1"/>
    <col min="14082" max="14082" width="82" style="278" customWidth="1"/>
    <col min="14083" max="14085" width="19.140625" style="278" customWidth="1"/>
    <col min="14086" max="14336" width="9.140625" style="278"/>
    <col min="14337" max="14337" width="8.140625" style="278" customWidth="1"/>
    <col min="14338" max="14338" width="82" style="278" customWidth="1"/>
    <col min="14339" max="14341" width="19.140625" style="278" customWidth="1"/>
    <col min="14342" max="14592" width="9.140625" style="278"/>
    <col min="14593" max="14593" width="8.140625" style="278" customWidth="1"/>
    <col min="14594" max="14594" width="82" style="278" customWidth="1"/>
    <col min="14595" max="14597" width="19.140625" style="278" customWidth="1"/>
    <col min="14598" max="14848" width="9.140625" style="278"/>
    <col min="14849" max="14849" width="8.140625" style="278" customWidth="1"/>
    <col min="14850" max="14850" width="82" style="278" customWidth="1"/>
    <col min="14851" max="14853" width="19.140625" style="278" customWidth="1"/>
    <col min="14854" max="15104" width="9.140625" style="278"/>
    <col min="15105" max="15105" width="8.140625" style="278" customWidth="1"/>
    <col min="15106" max="15106" width="82" style="278" customWidth="1"/>
    <col min="15107" max="15109" width="19.140625" style="278" customWidth="1"/>
    <col min="15110" max="15360" width="9.140625" style="278"/>
    <col min="15361" max="15361" width="8.140625" style="278" customWidth="1"/>
    <col min="15362" max="15362" width="82" style="278" customWidth="1"/>
    <col min="15363" max="15365" width="19.140625" style="278" customWidth="1"/>
    <col min="15366" max="15616" width="9.140625" style="278"/>
    <col min="15617" max="15617" width="8.140625" style="278" customWidth="1"/>
    <col min="15618" max="15618" width="82" style="278" customWidth="1"/>
    <col min="15619" max="15621" width="19.140625" style="278" customWidth="1"/>
    <col min="15622" max="15872" width="9.140625" style="278"/>
    <col min="15873" max="15873" width="8.140625" style="278" customWidth="1"/>
    <col min="15874" max="15874" width="82" style="278" customWidth="1"/>
    <col min="15875" max="15877" width="19.140625" style="278" customWidth="1"/>
    <col min="15878" max="16128" width="9.140625" style="278"/>
    <col min="16129" max="16129" width="8.140625" style="278" customWidth="1"/>
    <col min="16130" max="16130" width="82" style="278" customWidth="1"/>
    <col min="16131" max="16133" width="19.140625" style="278" customWidth="1"/>
    <col min="16134" max="16384" width="9.140625" style="278"/>
  </cols>
  <sheetData>
    <row r="1" spans="1:5" s="293" customFormat="1">
      <c r="E1" s="293" t="s">
        <v>82</v>
      </c>
    </row>
    <row r="2" spans="1:5" s="293" customFormat="1">
      <c r="A2" s="513" t="s">
        <v>164</v>
      </c>
      <c r="B2" s="514"/>
      <c r="C2" s="514"/>
      <c r="D2" s="514"/>
      <c r="E2" s="514"/>
    </row>
    <row r="3" spans="1:5">
      <c r="A3" s="279" t="s">
        <v>141</v>
      </c>
      <c r="B3" s="279" t="s">
        <v>79</v>
      </c>
      <c r="C3" s="279" t="s">
        <v>165</v>
      </c>
      <c r="D3" s="279" t="s">
        <v>166</v>
      </c>
      <c r="E3" s="279" t="s">
        <v>167</v>
      </c>
    </row>
    <row r="4" spans="1:5">
      <c r="A4" s="279">
        <v>1</v>
      </c>
      <c r="B4" s="279">
        <v>2</v>
      </c>
      <c r="C4" s="279">
        <v>3</v>
      </c>
      <c r="D4" s="279">
        <v>4</v>
      </c>
      <c r="E4" s="279">
        <v>5</v>
      </c>
    </row>
    <row r="5" spans="1:5">
      <c r="A5" s="280" t="s">
        <v>151</v>
      </c>
      <c r="B5" s="281" t="s">
        <v>168</v>
      </c>
      <c r="C5" s="282">
        <v>1871002</v>
      </c>
      <c r="D5" s="282">
        <v>0</v>
      </c>
      <c r="E5" s="282">
        <v>1891761</v>
      </c>
    </row>
    <row r="6" spans="1:5">
      <c r="A6" s="280" t="s">
        <v>153</v>
      </c>
      <c r="B6" s="281" t="s">
        <v>169</v>
      </c>
      <c r="C6" s="282">
        <v>126723</v>
      </c>
      <c r="D6" s="282">
        <v>0</v>
      </c>
      <c r="E6" s="282">
        <v>99990</v>
      </c>
    </row>
    <row r="7" spans="1:5">
      <c r="A7" s="280" t="s">
        <v>170</v>
      </c>
      <c r="B7" s="281" t="s">
        <v>171</v>
      </c>
      <c r="C7" s="282">
        <v>0</v>
      </c>
      <c r="D7" s="282">
        <v>0</v>
      </c>
      <c r="E7" s="282">
        <v>64163</v>
      </c>
    </row>
    <row r="8" spans="1:5">
      <c r="A8" s="283" t="s">
        <v>172</v>
      </c>
      <c r="B8" s="284" t="s">
        <v>173</v>
      </c>
      <c r="C8" s="285">
        <v>1997725</v>
      </c>
      <c r="D8" s="285">
        <v>0</v>
      </c>
      <c r="E8" s="285">
        <v>2055914</v>
      </c>
    </row>
    <row r="9" spans="1:5">
      <c r="A9" s="280" t="s">
        <v>174</v>
      </c>
      <c r="B9" s="281" t="s">
        <v>175</v>
      </c>
      <c r="C9" s="282">
        <v>100</v>
      </c>
      <c r="D9" s="282">
        <v>0</v>
      </c>
      <c r="E9" s="282">
        <v>100</v>
      </c>
    </row>
    <row r="10" spans="1:5">
      <c r="A10" s="280" t="s">
        <v>176</v>
      </c>
      <c r="B10" s="281" t="s">
        <v>177</v>
      </c>
      <c r="C10" s="282">
        <v>100</v>
      </c>
      <c r="D10" s="282">
        <v>0</v>
      </c>
      <c r="E10" s="282">
        <v>100</v>
      </c>
    </row>
    <row r="11" spans="1:5">
      <c r="A11" s="283" t="s">
        <v>178</v>
      </c>
      <c r="B11" s="284" t="s">
        <v>179</v>
      </c>
      <c r="C11" s="285">
        <v>100</v>
      </c>
      <c r="D11" s="285">
        <v>0</v>
      </c>
      <c r="E11" s="285">
        <v>100</v>
      </c>
    </row>
    <row r="12" spans="1:5">
      <c r="A12" s="283" t="s">
        <v>180</v>
      </c>
      <c r="B12" s="284" t="s">
        <v>181</v>
      </c>
      <c r="C12" s="285">
        <v>1997825</v>
      </c>
      <c r="D12" s="285">
        <v>0</v>
      </c>
      <c r="E12" s="285">
        <v>2056014</v>
      </c>
    </row>
    <row r="13" spans="1:5">
      <c r="A13" s="280" t="s">
        <v>182</v>
      </c>
      <c r="B13" s="281" t="s">
        <v>183</v>
      </c>
      <c r="C13" s="282">
        <v>597</v>
      </c>
      <c r="D13" s="282">
        <v>0</v>
      </c>
      <c r="E13" s="282">
        <v>861</v>
      </c>
    </row>
    <row r="14" spans="1:5">
      <c r="A14" s="283" t="s">
        <v>184</v>
      </c>
      <c r="B14" s="284" t="s">
        <v>185</v>
      </c>
      <c r="C14" s="285">
        <v>597</v>
      </c>
      <c r="D14" s="285">
        <v>0</v>
      </c>
      <c r="E14" s="285">
        <v>861</v>
      </c>
    </row>
    <row r="15" spans="1:5">
      <c r="A15" s="283" t="s">
        <v>186</v>
      </c>
      <c r="B15" s="284" t="s">
        <v>187</v>
      </c>
      <c r="C15" s="285">
        <v>597</v>
      </c>
      <c r="D15" s="285">
        <v>0</v>
      </c>
      <c r="E15" s="285">
        <v>861</v>
      </c>
    </row>
    <row r="16" spans="1:5">
      <c r="A16" s="280" t="s">
        <v>188</v>
      </c>
      <c r="B16" s="281" t="s">
        <v>189</v>
      </c>
      <c r="C16" s="282">
        <v>4129</v>
      </c>
      <c r="D16" s="282">
        <v>0</v>
      </c>
      <c r="E16" s="282">
        <v>7215</v>
      </c>
    </row>
    <row r="17" spans="1:5">
      <c r="A17" s="283" t="s">
        <v>190</v>
      </c>
      <c r="B17" s="284" t="s">
        <v>191</v>
      </c>
      <c r="C17" s="285">
        <v>4129</v>
      </c>
      <c r="D17" s="285">
        <v>0</v>
      </c>
      <c r="E17" s="285">
        <v>7215</v>
      </c>
    </row>
    <row r="18" spans="1:5">
      <c r="A18" s="280" t="s">
        <v>192</v>
      </c>
      <c r="B18" s="281" t="s">
        <v>193</v>
      </c>
      <c r="C18" s="282">
        <v>73057</v>
      </c>
      <c r="D18" s="282">
        <v>0</v>
      </c>
      <c r="E18" s="282">
        <v>38948</v>
      </c>
    </row>
    <row r="19" spans="1:5">
      <c r="A19" s="283" t="s">
        <v>194</v>
      </c>
      <c r="B19" s="284" t="s">
        <v>195</v>
      </c>
      <c r="C19" s="285">
        <v>73057</v>
      </c>
      <c r="D19" s="285">
        <v>0</v>
      </c>
      <c r="E19" s="285">
        <v>38948</v>
      </c>
    </row>
    <row r="20" spans="1:5">
      <c r="A20" s="283" t="s">
        <v>196</v>
      </c>
      <c r="B20" s="284" t="s">
        <v>197</v>
      </c>
      <c r="C20" s="285">
        <v>77186</v>
      </c>
      <c r="D20" s="285">
        <v>0</v>
      </c>
      <c r="E20" s="285">
        <v>46163</v>
      </c>
    </row>
    <row r="21" spans="1:5" ht="30">
      <c r="A21" s="280" t="s">
        <v>198</v>
      </c>
      <c r="B21" s="281" t="s">
        <v>199</v>
      </c>
      <c r="C21" s="282">
        <v>11797</v>
      </c>
      <c r="D21" s="282">
        <v>0</v>
      </c>
      <c r="E21" s="282">
        <v>9126</v>
      </c>
    </row>
    <row r="22" spans="1:5">
      <c r="A22" s="280" t="s">
        <v>200</v>
      </c>
      <c r="B22" s="281" t="s">
        <v>201</v>
      </c>
      <c r="C22" s="282">
        <v>11797</v>
      </c>
      <c r="D22" s="282">
        <v>0</v>
      </c>
      <c r="E22" s="282">
        <v>3139</v>
      </c>
    </row>
    <row r="23" spans="1:5" ht="30">
      <c r="A23" s="280" t="s">
        <v>202</v>
      </c>
      <c r="B23" s="281" t="s">
        <v>203</v>
      </c>
      <c r="C23" s="282">
        <v>0</v>
      </c>
      <c r="D23" s="282">
        <v>0</v>
      </c>
      <c r="E23" s="282">
        <v>4355</v>
      </c>
    </row>
    <row r="24" spans="1:5">
      <c r="A24" s="280" t="s">
        <v>204</v>
      </c>
      <c r="B24" s="281" t="s">
        <v>205</v>
      </c>
      <c r="C24" s="282">
        <v>0</v>
      </c>
      <c r="D24" s="282">
        <v>0</v>
      </c>
      <c r="E24" s="282">
        <v>1632</v>
      </c>
    </row>
    <row r="25" spans="1:5">
      <c r="A25" s="280" t="s">
        <v>206</v>
      </c>
      <c r="B25" s="281" t="s">
        <v>207</v>
      </c>
      <c r="C25" s="282">
        <v>5848</v>
      </c>
      <c r="D25" s="282">
        <v>0</v>
      </c>
      <c r="E25" s="282">
        <v>8420</v>
      </c>
    </row>
    <row r="26" spans="1:5" ht="30">
      <c r="A26" s="280" t="s">
        <v>208</v>
      </c>
      <c r="B26" s="281" t="s">
        <v>209</v>
      </c>
      <c r="C26" s="282">
        <v>5816</v>
      </c>
      <c r="D26" s="282">
        <v>0</v>
      </c>
      <c r="E26" s="282">
        <v>8219</v>
      </c>
    </row>
    <row r="27" spans="1:5" ht="30">
      <c r="A27" s="280" t="s">
        <v>210</v>
      </c>
      <c r="B27" s="281" t="s">
        <v>211</v>
      </c>
      <c r="C27" s="282">
        <v>0</v>
      </c>
      <c r="D27" s="282">
        <v>0</v>
      </c>
      <c r="E27" s="282">
        <v>201</v>
      </c>
    </row>
    <row r="28" spans="1:5">
      <c r="A28" s="280" t="s">
        <v>212</v>
      </c>
      <c r="B28" s="281" t="s">
        <v>213</v>
      </c>
      <c r="C28" s="282">
        <v>32</v>
      </c>
      <c r="D28" s="282">
        <v>0</v>
      </c>
      <c r="E28" s="282">
        <v>0</v>
      </c>
    </row>
    <row r="29" spans="1:5">
      <c r="A29" s="283" t="s">
        <v>214</v>
      </c>
      <c r="B29" s="284" t="s">
        <v>215</v>
      </c>
      <c r="C29" s="285">
        <v>17645</v>
      </c>
      <c r="D29" s="285">
        <v>0</v>
      </c>
      <c r="E29" s="285">
        <v>17546</v>
      </c>
    </row>
    <row r="30" spans="1:5">
      <c r="A30" s="280" t="s">
        <v>216</v>
      </c>
      <c r="B30" s="281" t="s">
        <v>217</v>
      </c>
      <c r="C30" s="282">
        <v>40</v>
      </c>
      <c r="D30" s="282">
        <v>0</v>
      </c>
      <c r="E30" s="282">
        <v>511</v>
      </c>
    </row>
    <row r="31" spans="1:5">
      <c r="A31" s="280" t="s">
        <v>218</v>
      </c>
      <c r="B31" s="281" t="s">
        <v>219</v>
      </c>
      <c r="C31" s="282">
        <v>40</v>
      </c>
      <c r="D31" s="282">
        <v>0</v>
      </c>
      <c r="E31" s="282">
        <v>85</v>
      </c>
    </row>
    <row r="32" spans="1:5">
      <c r="A32" s="280" t="s">
        <v>220</v>
      </c>
      <c r="B32" s="281" t="s">
        <v>221</v>
      </c>
      <c r="C32" s="282">
        <v>0</v>
      </c>
      <c r="D32" s="282">
        <v>0</v>
      </c>
      <c r="E32" s="282">
        <v>426</v>
      </c>
    </row>
    <row r="33" spans="1:5">
      <c r="A33" s="280" t="s">
        <v>222</v>
      </c>
      <c r="B33" s="281" t="s">
        <v>223</v>
      </c>
      <c r="C33" s="282">
        <v>170</v>
      </c>
      <c r="D33" s="282">
        <v>0</v>
      </c>
      <c r="E33" s="282">
        <v>206</v>
      </c>
    </row>
    <row r="34" spans="1:5">
      <c r="A34" s="283" t="s">
        <v>224</v>
      </c>
      <c r="B34" s="284" t="s">
        <v>225</v>
      </c>
      <c r="C34" s="285">
        <v>210</v>
      </c>
      <c r="D34" s="285">
        <v>0</v>
      </c>
      <c r="E34" s="285">
        <v>717</v>
      </c>
    </row>
    <row r="35" spans="1:5">
      <c r="A35" s="283" t="s">
        <v>226</v>
      </c>
      <c r="B35" s="284" t="s">
        <v>227</v>
      </c>
      <c r="C35" s="285">
        <v>17855</v>
      </c>
      <c r="D35" s="285">
        <v>0</v>
      </c>
      <c r="E35" s="285">
        <v>18263</v>
      </c>
    </row>
    <row r="36" spans="1:5">
      <c r="A36" s="280" t="s">
        <v>228</v>
      </c>
      <c r="B36" s="281" t="s">
        <v>229</v>
      </c>
      <c r="C36" s="282">
        <v>222631</v>
      </c>
      <c r="D36" s="282">
        <v>0</v>
      </c>
      <c r="E36" s="282">
        <v>21074</v>
      </c>
    </row>
    <row r="37" spans="1:5" ht="30">
      <c r="A37" s="280" t="s">
        <v>230</v>
      </c>
      <c r="B37" s="281" t="s">
        <v>231</v>
      </c>
      <c r="C37" s="282">
        <v>2510</v>
      </c>
      <c r="D37" s="282">
        <v>0</v>
      </c>
      <c r="E37" s="282">
        <v>0</v>
      </c>
    </row>
    <row r="38" spans="1:5">
      <c r="A38" s="283" t="s">
        <v>232</v>
      </c>
      <c r="B38" s="284" t="s">
        <v>233</v>
      </c>
      <c r="C38" s="285">
        <v>225141</v>
      </c>
      <c r="D38" s="285">
        <v>0</v>
      </c>
      <c r="E38" s="285">
        <v>21074</v>
      </c>
    </row>
    <row r="39" spans="1:5">
      <c r="A39" s="283" t="s">
        <v>234</v>
      </c>
      <c r="B39" s="284" t="s">
        <v>235</v>
      </c>
      <c r="C39" s="285">
        <v>2318604</v>
      </c>
      <c r="D39" s="285">
        <v>0</v>
      </c>
      <c r="E39" s="285">
        <v>2142375</v>
      </c>
    </row>
    <row r="40" spans="1:5">
      <c r="A40" s="280" t="s">
        <v>236</v>
      </c>
      <c r="B40" s="281" t="s">
        <v>237</v>
      </c>
      <c r="C40" s="282">
        <v>1499697</v>
      </c>
      <c r="D40" s="282">
        <v>0</v>
      </c>
      <c r="E40" s="282">
        <v>1499697</v>
      </c>
    </row>
    <row r="41" spans="1:5">
      <c r="A41" s="280" t="s">
        <v>238</v>
      </c>
      <c r="B41" s="281" t="s">
        <v>239</v>
      </c>
      <c r="C41" s="282">
        <v>-13199</v>
      </c>
      <c r="D41" s="282">
        <v>0</v>
      </c>
      <c r="E41" s="282">
        <v>-7309</v>
      </c>
    </row>
    <row r="42" spans="1:5">
      <c r="A42" s="280" t="s">
        <v>240</v>
      </c>
      <c r="B42" s="281" t="s">
        <v>241</v>
      </c>
      <c r="C42" s="282">
        <v>527114</v>
      </c>
      <c r="D42" s="282">
        <v>0</v>
      </c>
      <c r="E42" s="282">
        <v>818326</v>
      </c>
    </row>
    <row r="43" spans="1:5">
      <c r="A43" s="280" t="s">
        <v>242</v>
      </c>
      <c r="B43" s="281" t="s">
        <v>243</v>
      </c>
      <c r="C43" s="282">
        <v>291214</v>
      </c>
      <c r="D43" s="282">
        <v>0</v>
      </c>
      <c r="E43" s="282">
        <v>-183111</v>
      </c>
    </row>
    <row r="44" spans="1:5">
      <c r="A44" s="283" t="s">
        <v>244</v>
      </c>
      <c r="B44" s="284" t="s">
        <v>245</v>
      </c>
      <c r="C44" s="285">
        <v>2304826</v>
      </c>
      <c r="D44" s="285">
        <v>0</v>
      </c>
      <c r="E44" s="285">
        <v>2127603</v>
      </c>
    </row>
    <row r="45" spans="1:5">
      <c r="A45" s="280" t="s">
        <v>246</v>
      </c>
      <c r="B45" s="281" t="s">
        <v>247</v>
      </c>
      <c r="C45" s="282">
        <v>10997</v>
      </c>
      <c r="D45" s="282">
        <v>0</v>
      </c>
      <c r="E45" s="282">
        <v>256</v>
      </c>
    </row>
    <row r="46" spans="1:5" ht="30">
      <c r="A46" s="280" t="s">
        <v>248</v>
      </c>
      <c r="B46" s="281" t="s">
        <v>249</v>
      </c>
      <c r="C46" s="282">
        <v>0</v>
      </c>
      <c r="D46" s="282">
        <v>0</v>
      </c>
      <c r="E46" s="282">
        <v>53</v>
      </c>
    </row>
    <row r="47" spans="1:5">
      <c r="A47" s="280" t="s">
        <v>250</v>
      </c>
      <c r="B47" s="281" t="s">
        <v>251</v>
      </c>
      <c r="C47" s="282">
        <v>2691</v>
      </c>
      <c r="D47" s="282">
        <v>0</v>
      </c>
      <c r="E47" s="282">
        <v>0</v>
      </c>
    </row>
    <row r="48" spans="1:5">
      <c r="A48" s="283" t="s">
        <v>252</v>
      </c>
      <c r="B48" s="284" t="s">
        <v>253</v>
      </c>
      <c r="C48" s="285">
        <v>13688</v>
      </c>
      <c r="D48" s="285">
        <v>0</v>
      </c>
      <c r="E48" s="285">
        <v>309</v>
      </c>
    </row>
    <row r="49" spans="1:5">
      <c r="A49" s="280" t="s">
        <v>254</v>
      </c>
      <c r="B49" s="281" t="s">
        <v>255</v>
      </c>
      <c r="C49" s="282">
        <v>0</v>
      </c>
      <c r="D49" s="282">
        <v>0</v>
      </c>
      <c r="E49" s="282">
        <v>1904</v>
      </c>
    </row>
    <row r="50" spans="1:5" ht="30">
      <c r="A50" s="280" t="s">
        <v>256</v>
      </c>
      <c r="B50" s="281" t="s">
        <v>257</v>
      </c>
      <c r="C50" s="282">
        <v>0</v>
      </c>
      <c r="D50" s="282">
        <v>0</v>
      </c>
      <c r="E50" s="282">
        <v>12415</v>
      </c>
    </row>
    <row r="51" spans="1:5">
      <c r="A51" s="283" t="s">
        <v>258</v>
      </c>
      <c r="B51" s="284" t="s">
        <v>259</v>
      </c>
      <c r="C51" s="285">
        <v>0</v>
      </c>
      <c r="D51" s="285">
        <v>0</v>
      </c>
      <c r="E51" s="285">
        <v>14319</v>
      </c>
    </row>
    <row r="52" spans="1:5">
      <c r="A52" s="280" t="s">
        <v>260</v>
      </c>
      <c r="B52" s="281" t="s">
        <v>261</v>
      </c>
      <c r="C52" s="282">
        <v>90</v>
      </c>
      <c r="D52" s="282">
        <v>0</v>
      </c>
      <c r="E52" s="282">
        <v>144</v>
      </c>
    </row>
    <row r="53" spans="1:5">
      <c r="A53" s="283" t="s">
        <v>262</v>
      </c>
      <c r="B53" s="284" t="s">
        <v>263</v>
      </c>
      <c r="C53" s="285">
        <v>90</v>
      </c>
      <c r="D53" s="285">
        <v>0</v>
      </c>
      <c r="E53" s="285">
        <v>144</v>
      </c>
    </row>
    <row r="54" spans="1:5">
      <c r="A54" s="283" t="s">
        <v>264</v>
      </c>
      <c r="B54" s="284" t="s">
        <v>265</v>
      </c>
      <c r="C54" s="285">
        <v>13778</v>
      </c>
      <c r="D54" s="285">
        <v>0</v>
      </c>
      <c r="E54" s="285">
        <v>14772</v>
      </c>
    </row>
    <row r="55" spans="1:5">
      <c r="A55" s="283" t="s">
        <v>266</v>
      </c>
      <c r="B55" s="284" t="s">
        <v>267</v>
      </c>
      <c r="C55" s="285">
        <v>2318604</v>
      </c>
      <c r="D55" s="285">
        <v>0</v>
      </c>
      <c r="E55" s="285">
        <v>2142375</v>
      </c>
    </row>
    <row r="59" spans="1:5">
      <c r="A59" s="278" t="str">
        <f>Tartalomjegyzék!A20</f>
        <v>Cibakháza, 2016. május 31.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pane ySplit="5" topLeftCell="A6" activePane="bottomLeft" state="frozen"/>
      <selection pane="bottomLeft" activeCell="A20" sqref="A20"/>
    </sheetView>
  </sheetViews>
  <sheetFormatPr defaultRowHeight="15"/>
  <cols>
    <col min="1" max="1" width="8.140625" style="278" customWidth="1"/>
    <col min="2" max="2" width="82" style="278" customWidth="1"/>
    <col min="3" max="3" width="19.140625" style="278" customWidth="1"/>
    <col min="4" max="256" width="9.140625" style="278"/>
    <col min="257" max="257" width="8.140625" style="278" customWidth="1"/>
    <col min="258" max="258" width="82" style="278" customWidth="1"/>
    <col min="259" max="259" width="19.140625" style="278" customWidth="1"/>
    <col min="260" max="512" width="9.140625" style="278"/>
    <col min="513" max="513" width="8.140625" style="278" customWidth="1"/>
    <col min="514" max="514" width="82" style="278" customWidth="1"/>
    <col min="515" max="515" width="19.140625" style="278" customWidth="1"/>
    <col min="516" max="768" width="9.140625" style="278"/>
    <col min="769" max="769" width="8.140625" style="278" customWidth="1"/>
    <col min="770" max="770" width="82" style="278" customWidth="1"/>
    <col min="771" max="771" width="19.140625" style="278" customWidth="1"/>
    <col min="772" max="1024" width="9.140625" style="278"/>
    <col min="1025" max="1025" width="8.140625" style="278" customWidth="1"/>
    <col min="1026" max="1026" width="82" style="278" customWidth="1"/>
    <col min="1027" max="1027" width="19.140625" style="278" customWidth="1"/>
    <col min="1028" max="1280" width="9.140625" style="278"/>
    <col min="1281" max="1281" width="8.140625" style="278" customWidth="1"/>
    <col min="1282" max="1282" width="82" style="278" customWidth="1"/>
    <col min="1283" max="1283" width="19.140625" style="278" customWidth="1"/>
    <col min="1284" max="1536" width="9.140625" style="278"/>
    <col min="1537" max="1537" width="8.140625" style="278" customWidth="1"/>
    <col min="1538" max="1538" width="82" style="278" customWidth="1"/>
    <col min="1539" max="1539" width="19.140625" style="278" customWidth="1"/>
    <col min="1540" max="1792" width="9.140625" style="278"/>
    <col min="1793" max="1793" width="8.140625" style="278" customWidth="1"/>
    <col min="1794" max="1794" width="82" style="278" customWidth="1"/>
    <col min="1795" max="1795" width="19.140625" style="278" customWidth="1"/>
    <col min="1796" max="2048" width="9.140625" style="278"/>
    <col min="2049" max="2049" width="8.140625" style="278" customWidth="1"/>
    <col min="2050" max="2050" width="82" style="278" customWidth="1"/>
    <col min="2051" max="2051" width="19.140625" style="278" customWidth="1"/>
    <col min="2052" max="2304" width="9.140625" style="278"/>
    <col min="2305" max="2305" width="8.140625" style="278" customWidth="1"/>
    <col min="2306" max="2306" width="82" style="278" customWidth="1"/>
    <col min="2307" max="2307" width="19.140625" style="278" customWidth="1"/>
    <col min="2308" max="2560" width="9.140625" style="278"/>
    <col min="2561" max="2561" width="8.140625" style="278" customWidth="1"/>
    <col min="2562" max="2562" width="82" style="278" customWidth="1"/>
    <col min="2563" max="2563" width="19.140625" style="278" customWidth="1"/>
    <col min="2564" max="2816" width="9.140625" style="278"/>
    <col min="2817" max="2817" width="8.140625" style="278" customWidth="1"/>
    <col min="2818" max="2818" width="82" style="278" customWidth="1"/>
    <col min="2819" max="2819" width="19.140625" style="278" customWidth="1"/>
    <col min="2820" max="3072" width="9.140625" style="278"/>
    <col min="3073" max="3073" width="8.140625" style="278" customWidth="1"/>
    <col min="3074" max="3074" width="82" style="278" customWidth="1"/>
    <col min="3075" max="3075" width="19.140625" style="278" customWidth="1"/>
    <col min="3076" max="3328" width="9.140625" style="278"/>
    <col min="3329" max="3329" width="8.140625" style="278" customWidth="1"/>
    <col min="3330" max="3330" width="82" style="278" customWidth="1"/>
    <col min="3331" max="3331" width="19.140625" style="278" customWidth="1"/>
    <col min="3332" max="3584" width="9.140625" style="278"/>
    <col min="3585" max="3585" width="8.140625" style="278" customWidth="1"/>
    <col min="3586" max="3586" width="82" style="278" customWidth="1"/>
    <col min="3587" max="3587" width="19.140625" style="278" customWidth="1"/>
    <col min="3588" max="3840" width="9.140625" style="278"/>
    <col min="3841" max="3841" width="8.140625" style="278" customWidth="1"/>
    <col min="3842" max="3842" width="82" style="278" customWidth="1"/>
    <col min="3843" max="3843" width="19.140625" style="278" customWidth="1"/>
    <col min="3844" max="4096" width="9.140625" style="278"/>
    <col min="4097" max="4097" width="8.140625" style="278" customWidth="1"/>
    <col min="4098" max="4098" width="82" style="278" customWidth="1"/>
    <col min="4099" max="4099" width="19.140625" style="278" customWidth="1"/>
    <col min="4100" max="4352" width="9.140625" style="278"/>
    <col min="4353" max="4353" width="8.140625" style="278" customWidth="1"/>
    <col min="4354" max="4354" width="82" style="278" customWidth="1"/>
    <col min="4355" max="4355" width="19.140625" style="278" customWidth="1"/>
    <col min="4356" max="4608" width="9.140625" style="278"/>
    <col min="4609" max="4609" width="8.140625" style="278" customWidth="1"/>
    <col min="4610" max="4610" width="82" style="278" customWidth="1"/>
    <col min="4611" max="4611" width="19.140625" style="278" customWidth="1"/>
    <col min="4612" max="4864" width="9.140625" style="278"/>
    <col min="4865" max="4865" width="8.140625" style="278" customWidth="1"/>
    <col min="4866" max="4866" width="82" style="278" customWidth="1"/>
    <col min="4867" max="4867" width="19.140625" style="278" customWidth="1"/>
    <col min="4868" max="5120" width="9.140625" style="278"/>
    <col min="5121" max="5121" width="8.140625" style="278" customWidth="1"/>
    <col min="5122" max="5122" width="82" style="278" customWidth="1"/>
    <col min="5123" max="5123" width="19.140625" style="278" customWidth="1"/>
    <col min="5124" max="5376" width="9.140625" style="278"/>
    <col min="5377" max="5377" width="8.140625" style="278" customWidth="1"/>
    <col min="5378" max="5378" width="82" style="278" customWidth="1"/>
    <col min="5379" max="5379" width="19.140625" style="278" customWidth="1"/>
    <col min="5380" max="5632" width="9.140625" style="278"/>
    <col min="5633" max="5633" width="8.140625" style="278" customWidth="1"/>
    <col min="5634" max="5634" width="82" style="278" customWidth="1"/>
    <col min="5635" max="5635" width="19.140625" style="278" customWidth="1"/>
    <col min="5636" max="5888" width="9.140625" style="278"/>
    <col min="5889" max="5889" width="8.140625" style="278" customWidth="1"/>
    <col min="5890" max="5890" width="82" style="278" customWidth="1"/>
    <col min="5891" max="5891" width="19.140625" style="278" customWidth="1"/>
    <col min="5892" max="6144" width="9.140625" style="278"/>
    <col min="6145" max="6145" width="8.140625" style="278" customWidth="1"/>
    <col min="6146" max="6146" width="82" style="278" customWidth="1"/>
    <col min="6147" max="6147" width="19.140625" style="278" customWidth="1"/>
    <col min="6148" max="6400" width="9.140625" style="278"/>
    <col min="6401" max="6401" width="8.140625" style="278" customWidth="1"/>
    <col min="6402" max="6402" width="82" style="278" customWidth="1"/>
    <col min="6403" max="6403" width="19.140625" style="278" customWidth="1"/>
    <col min="6404" max="6656" width="9.140625" style="278"/>
    <col min="6657" max="6657" width="8.140625" style="278" customWidth="1"/>
    <col min="6658" max="6658" width="82" style="278" customWidth="1"/>
    <col min="6659" max="6659" width="19.140625" style="278" customWidth="1"/>
    <col min="6660" max="6912" width="9.140625" style="278"/>
    <col min="6913" max="6913" width="8.140625" style="278" customWidth="1"/>
    <col min="6914" max="6914" width="82" style="278" customWidth="1"/>
    <col min="6915" max="6915" width="19.140625" style="278" customWidth="1"/>
    <col min="6916" max="7168" width="9.140625" style="278"/>
    <col min="7169" max="7169" width="8.140625" style="278" customWidth="1"/>
    <col min="7170" max="7170" width="82" style="278" customWidth="1"/>
    <col min="7171" max="7171" width="19.140625" style="278" customWidth="1"/>
    <col min="7172" max="7424" width="9.140625" style="278"/>
    <col min="7425" max="7425" width="8.140625" style="278" customWidth="1"/>
    <col min="7426" max="7426" width="82" style="278" customWidth="1"/>
    <col min="7427" max="7427" width="19.140625" style="278" customWidth="1"/>
    <col min="7428" max="7680" width="9.140625" style="278"/>
    <col min="7681" max="7681" width="8.140625" style="278" customWidth="1"/>
    <col min="7682" max="7682" width="82" style="278" customWidth="1"/>
    <col min="7683" max="7683" width="19.140625" style="278" customWidth="1"/>
    <col min="7684" max="7936" width="9.140625" style="278"/>
    <col min="7937" max="7937" width="8.140625" style="278" customWidth="1"/>
    <col min="7938" max="7938" width="82" style="278" customWidth="1"/>
    <col min="7939" max="7939" width="19.140625" style="278" customWidth="1"/>
    <col min="7940" max="8192" width="9.140625" style="278"/>
    <col min="8193" max="8193" width="8.140625" style="278" customWidth="1"/>
    <col min="8194" max="8194" width="82" style="278" customWidth="1"/>
    <col min="8195" max="8195" width="19.140625" style="278" customWidth="1"/>
    <col min="8196" max="8448" width="9.140625" style="278"/>
    <col min="8449" max="8449" width="8.140625" style="278" customWidth="1"/>
    <col min="8450" max="8450" width="82" style="278" customWidth="1"/>
    <col min="8451" max="8451" width="19.140625" style="278" customWidth="1"/>
    <col min="8452" max="8704" width="9.140625" style="278"/>
    <col min="8705" max="8705" width="8.140625" style="278" customWidth="1"/>
    <col min="8706" max="8706" width="82" style="278" customWidth="1"/>
    <col min="8707" max="8707" width="19.140625" style="278" customWidth="1"/>
    <col min="8708" max="8960" width="9.140625" style="278"/>
    <col min="8961" max="8961" width="8.140625" style="278" customWidth="1"/>
    <col min="8962" max="8962" width="82" style="278" customWidth="1"/>
    <col min="8963" max="8963" width="19.140625" style="278" customWidth="1"/>
    <col min="8964" max="9216" width="9.140625" style="278"/>
    <col min="9217" max="9217" width="8.140625" style="278" customWidth="1"/>
    <col min="9218" max="9218" width="82" style="278" customWidth="1"/>
    <col min="9219" max="9219" width="19.140625" style="278" customWidth="1"/>
    <col min="9220" max="9472" width="9.140625" style="278"/>
    <col min="9473" max="9473" width="8.140625" style="278" customWidth="1"/>
    <col min="9474" max="9474" width="82" style="278" customWidth="1"/>
    <col min="9475" max="9475" width="19.140625" style="278" customWidth="1"/>
    <col min="9476" max="9728" width="9.140625" style="278"/>
    <col min="9729" max="9729" width="8.140625" style="278" customWidth="1"/>
    <col min="9730" max="9730" width="82" style="278" customWidth="1"/>
    <col min="9731" max="9731" width="19.140625" style="278" customWidth="1"/>
    <col min="9732" max="9984" width="9.140625" style="278"/>
    <col min="9985" max="9985" width="8.140625" style="278" customWidth="1"/>
    <col min="9986" max="9986" width="82" style="278" customWidth="1"/>
    <col min="9987" max="9987" width="19.140625" style="278" customWidth="1"/>
    <col min="9988" max="10240" width="9.140625" style="278"/>
    <col min="10241" max="10241" width="8.140625" style="278" customWidth="1"/>
    <col min="10242" max="10242" width="82" style="278" customWidth="1"/>
    <col min="10243" max="10243" width="19.140625" style="278" customWidth="1"/>
    <col min="10244" max="10496" width="9.140625" style="278"/>
    <col min="10497" max="10497" width="8.140625" style="278" customWidth="1"/>
    <col min="10498" max="10498" width="82" style="278" customWidth="1"/>
    <col min="10499" max="10499" width="19.140625" style="278" customWidth="1"/>
    <col min="10500" max="10752" width="9.140625" style="278"/>
    <col min="10753" max="10753" width="8.140625" style="278" customWidth="1"/>
    <col min="10754" max="10754" width="82" style="278" customWidth="1"/>
    <col min="10755" max="10755" width="19.140625" style="278" customWidth="1"/>
    <col min="10756" max="11008" width="9.140625" style="278"/>
    <col min="11009" max="11009" width="8.140625" style="278" customWidth="1"/>
    <col min="11010" max="11010" width="82" style="278" customWidth="1"/>
    <col min="11011" max="11011" width="19.140625" style="278" customWidth="1"/>
    <col min="11012" max="11264" width="9.140625" style="278"/>
    <col min="11265" max="11265" width="8.140625" style="278" customWidth="1"/>
    <col min="11266" max="11266" width="82" style="278" customWidth="1"/>
    <col min="11267" max="11267" width="19.140625" style="278" customWidth="1"/>
    <col min="11268" max="11520" width="9.140625" style="278"/>
    <col min="11521" max="11521" width="8.140625" style="278" customWidth="1"/>
    <col min="11522" max="11522" width="82" style="278" customWidth="1"/>
    <col min="11523" max="11523" width="19.140625" style="278" customWidth="1"/>
    <col min="11524" max="11776" width="9.140625" style="278"/>
    <col min="11777" max="11777" width="8.140625" style="278" customWidth="1"/>
    <col min="11778" max="11778" width="82" style="278" customWidth="1"/>
    <col min="11779" max="11779" width="19.140625" style="278" customWidth="1"/>
    <col min="11780" max="12032" width="9.140625" style="278"/>
    <col min="12033" max="12033" width="8.140625" style="278" customWidth="1"/>
    <col min="12034" max="12034" width="82" style="278" customWidth="1"/>
    <col min="12035" max="12035" width="19.140625" style="278" customWidth="1"/>
    <col min="12036" max="12288" width="9.140625" style="278"/>
    <col min="12289" max="12289" width="8.140625" style="278" customWidth="1"/>
    <col min="12290" max="12290" width="82" style="278" customWidth="1"/>
    <col min="12291" max="12291" width="19.140625" style="278" customWidth="1"/>
    <col min="12292" max="12544" width="9.140625" style="278"/>
    <col min="12545" max="12545" width="8.140625" style="278" customWidth="1"/>
    <col min="12546" max="12546" width="82" style="278" customWidth="1"/>
    <col min="12547" max="12547" width="19.140625" style="278" customWidth="1"/>
    <col min="12548" max="12800" width="9.140625" style="278"/>
    <col min="12801" max="12801" width="8.140625" style="278" customWidth="1"/>
    <col min="12802" max="12802" width="82" style="278" customWidth="1"/>
    <col min="12803" max="12803" width="19.140625" style="278" customWidth="1"/>
    <col min="12804" max="13056" width="9.140625" style="278"/>
    <col min="13057" max="13057" width="8.140625" style="278" customWidth="1"/>
    <col min="13058" max="13058" width="82" style="278" customWidth="1"/>
    <col min="13059" max="13059" width="19.140625" style="278" customWidth="1"/>
    <col min="13060" max="13312" width="9.140625" style="278"/>
    <col min="13313" max="13313" width="8.140625" style="278" customWidth="1"/>
    <col min="13314" max="13314" width="82" style="278" customWidth="1"/>
    <col min="13315" max="13315" width="19.140625" style="278" customWidth="1"/>
    <col min="13316" max="13568" width="9.140625" style="278"/>
    <col min="13569" max="13569" width="8.140625" style="278" customWidth="1"/>
    <col min="13570" max="13570" width="82" style="278" customWidth="1"/>
    <col min="13571" max="13571" width="19.140625" style="278" customWidth="1"/>
    <col min="13572" max="13824" width="9.140625" style="278"/>
    <col min="13825" max="13825" width="8.140625" style="278" customWidth="1"/>
    <col min="13826" max="13826" width="82" style="278" customWidth="1"/>
    <col min="13827" max="13827" width="19.140625" style="278" customWidth="1"/>
    <col min="13828" max="14080" width="9.140625" style="278"/>
    <col min="14081" max="14081" width="8.140625" style="278" customWidth="1"/>
    <col min="14082" max="14082" width="82" style="278" customWidth="1"/>
    <col min="14083" max="14083" width="19.140625" style="278" customWidth="1"/>
    <col min="14084" max="14336" width="9.140625" style="278"/>
    <col min="14337" max="14337" width="8.140625" style="278" customWidth="1"/>
    <col min="14338" max="14338" width="82" style="278" customWidth="1"/>
    <col min="14339" max="14339" width="19.140625" style="278" customWidth="1"/>
    <col min="14340" max="14592" width="9.140625" style="278"/>
    <col min="14593" max="14593" width="8.140625" style="278" customWidth="1"/>
    <col min="14594" max="14594" width="82" style="278" customWidth="1"/>
    <col min="14595" max="14595" width="19.140625" style="278" customWidth="1"/>
    <col min="14596" max="14848" width="9.140625" style="278"/>
    <col min="14849" max="14849" width="8.140625" style="278" customWidth="1"/>
    <col min="14850" max="14850" width="82" style="278" customWidth="1"/>
    <col min="14851" max="14851" width="19.140625" style="278" customWidth="1"/>
    <col min="14852" max="15104" width="9.140625" style="278"/>
    <col min="15105" max="15105" width="8.140625" style="278" customWidth="1"/>
    <col min="15106" max="15106" width="82" style="278" customWidth="1"/>
    <col min="15107" max="15107" width="19.140625" style="278" customWidth="1"/>
    <col min="15108" max="15360" width="9.140625" style="278"/>
    <col min="15361" max="15361" width="8.140625" style="278" customWidth="1"/>
    <col min="15362" max="15362" width="82" style="278" customWidth="1"/>
    <col min="15363" max="15363" width="19.140625" style="278" customWidth="1"/>
    <col min="15364" max="15616" width="9.140625" style="278"/>
    <col min="15617" max="15617" width="8.140625" style="278" customWidth="1"/>
    <col min="15618" max="15618" width="82" style="278" customWidth="1"/>
    <col min="15619" max="15619" width="19.140625" style="278" customWidth="1"/>
    <col min="15620" max="15872" width="9.140625" style="278"/>
    <col min="15873" max="15873" width="8.140625" style="278" customWidth="1"/>
    <col min="15874" max="15874" width="82" style="278" customWidth="1"/>
    <col min="15875" max="15875" width="19.140625" style="278" customWidth="1"/>
    <col min="15876" max="16128" width="9.140625" style="278"/>
    <col min="16129" max="16129" width="8.140625" style="278" customWidth="1"/>
    <col min="16130" max="16130" width="82" style="278" customWidth="1"/>
    <col min="16131" max="16131" width="19.140625" style="278" customWidth="1"/>
    <col min="16132" max="16384" width="9.140625" style="278"/>
  </cols>
  <sheetData>
    <row r="1" spans="1:3" s="294" customFormat="1">
      <c r="C1" s="294" t="s">
        <v>83</v>
      </c>
    </row>
    <row r="2" spans="1:3" s="294" customFormat="1" ht="16.5" customHeight="1">
      <c r="A2" s="515" t="s">
        <v>163</v>
      </c>
      <c r="B2" s="516"/>
      <c r="C2" s="516"/>
    </row>
    <row r="3" spans="1:3" s="294" customFormat="1" ht="16.5" customHeight="1">
      <c r="A3" s="305"/>
      <c r="B3" s="363" t="s">
        <v>557</v>
      </c>
      <c r="C3" s="306"/>
    </row>
    <row r="4" spans="1:3">
      <c r="A4" s="364" t="s">
        <v>141</v>
      </c>
      <c r="B4" s="364" t="s">
        <v>79</v>
      </c>
      <c r="C4" s="364" t="s">
        <v>142</v>
      </c>
    </row>
    <row r="5" spans="1:3" s="368" customFormat="1">
      <c r="A5" s="307">
        <v>1</v>
      </c>
      <c r="B5" s="307">
        <v>2</v>
      </c>
      <c r="C5" s="307">
        <v>3</v>
      </c>
    </row>
    <row r="6" spans="1:3" s="368" customFormat="1">
      <c r="A6" s="280" t="s">
        <v>143</v>
      </c>
      <c r="B6" s="281" t="s">
        <v>144</v>
      </c>
      <c r="C6" s="282">
        <v>841986</v>
      </c>
    </row>
    <row r="7" spans="1:3">
      <c r="A7" s="365" t="s">
        <v>145</v>
      </c>
      <c r="B7" s="366" t="s">
        <v>146</v>
      </c>
      <c r="C7" s="367">
        <v>885045</v>
      </c>
    </row>
    <row r="8" spans="1:3">
      <c r="A8" s="283" t="s">
        <v>147</v>
      </c>
      <c r="B8" s="284" t="s">
        <v>148</v>
      </c>
      <c r="C8" s="285">
        <v>-43059</v>
      </c>
    </row>
    <row r="9" spans="1:3">
      <c r="A9" s="280" t="s">
        <v>149</v>
      </c>
      <c r="B9" s="281" t="s">
        <v>150</v>
      </c>
      <c r="C9" s="282">
        <v>397648</v>
      </c>
    </row>
    <row r="10" spans="1:3">
      <c r="A10" s="280" t="s">
        <v>151</v>
      </c>
      <c r="B10" s="281" t="s">
        <v>152</v>
      </c>
      <c r="C10" s="282">
        <v>280004</v>
      </c>
    </row>
    <row r="11" spans="1:3">
      <c r="A11" s="283" t="s">
        <v>153</v>
      </c>
      <c r="B11" s="284" t="s">
        <v>154</v>
      </c>
      <c r="C11" s="285">
        <v>117644</v>
      </c>
    </row>
    <row r="12" spans="1:3">
      <c r="A12" s="283" t="s">
        <v>155</v>
      </c>
      <c r="B12" s="284" t="s">
        <v>156</v>
      </c>
      <c r="C12" s="285">
        <v>74585</v>
      </c>
    </row>
    <row r="13" spans="1:3">
      <c r="A13" s="283" t="s">
        <v>170</v>
      </c>
      <c r="B13" s="284" t="s">
        <v>158</v>
      </c>
      <c r="C13" s="285">
        <v>74585</v>
      </c>
    </row>
    <row r="14" spans="1:3">
      <c r="A14" s="283" t="s">
        <v>280</v>
      </c>
      <c r="B14" s="284" t="s">
        <v>160</v>
      </c>
      <c r="C14" s="285">
        <v>440</v>
      </c>
    </row>
    <row r="15" spans="1:3">
      <c r="A15" s="283" t="s">
        <v>172</v>
      </c>
      <c r="B15" s="284" t="s">
        <v>162</v>
      </c>
      <c r="C15" s="285">
        <v>74145</v>
      </c>
    </row>
    <row r="16" spans="1:3">
      <c r="A16" s="286"/>
      <c r="B16" s="286"/>
      <c r="C16" s="286"/>
    </row>
    <row r="19" spans="1:1">
      <c r="A19" s="278" t="str">
        <f>Tartalomjegyzék!A20</f>
        <v>Cibakháza, 2016. május 31.</v>
      </c>
    </row>
  </sheetData>
  <mergeCells count="1"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31" workbookViewId="0">
      <selection activeCell="B49" sqref="B49"/>
    </sheetView>
  </sheetViews>
  <sheetFormatPr defaultRowHeight="15"/>
  <cols>
    <col min="1" max="1" width="7.85546875" customWidth="1"/>
    <col min="2" max="2" width="91.7109375" customWidth="1"/>
    <col min="3" max="3" width="15.7109375" customWidth="1"/>
    <col min="4" max="4" width="17" customWidth="1"/>
    <col min="5" max="5" width="17.7109375" customWidth="1"/>
  </cols>
  <sheetData>
    <row r="1" spans="1:5">
      <c r="D1" s="521" t="s">
        <v>558</v>
      </c>
      <c r="E1" s="521"/>
    </row>
    <row r="2" spans="1:5">
      <c r="A2" s="517" t="s">
        <v>511</v>
      </c>
      <c r="B2" s="518"/>
      <c r="C2" s="518"/>
      <c r="D2" s="518"/>
      <c r="E2" s="518"/>
    </row>
    <row r="3" spans="1:5">
      <c r="A3" s="312"/>
      <c r="B3" s="519" t="s">
        <v>557</v>
      </c>
      <c r="C3" s="520"/>
      <c r="D3" s="520"/>
      <c r="E3" s="520"/>
    </row>
    <row r="4" spans="1:5">
      <c r="A4" s="313"/>
      <c r="B4" s="314"/>
      <c r="C4" s="315"/>
      <c r="D4" s="315"/>
      <c r="E4" s="315"/>
    </row>
    <row r="5" spans="1:5">
      <c r="A5" s="316"/>
      <c r="B5" s="316" t="s">
        <v>79</v>
      </c>
      <c r="C5" s="316" t="s">
        <v>165</v>
      </c>
      <c r="D5" s="316" t="s">
        <v>512</v>
      </c>
      <c r="E5" s="316" t="s">
        <v>167</v>
      </c>
    </row>
    <row r="6" spans="1:5">
      <c r="A6" s="316">
        <v>1</v>
      </c>
      <c r="B6" s="316">
        <v>2</v>
      </c>
      <c r="C6" s="316">
        <v>3</v>
      </c>
      <c r="D6" s="316">
        <v>4</v>
      </c>
      <c r="E6" s="316">
        <v>5</v>
      </c>
    </row>
    <row r="7" spans="1:5" ht="22.5" customHeight="1">
      <c r="A7" s="317" t="s">
        <v>143</v>
      </c>
      <c r="B7" s="318" t="s">
        <v>513</v>
      </c>
      <c r="C7" s="319">
        <v>61759</v>
      </c>
      <c r="D7" s="319">
        <v>0</v>
      </c>
      <c r="E7" s="319">
        <v>86321</v>
      </c>
    </row>
    <row r="8" spans="1:5" ht="22.5" customHeight="1">
      <c r="A8" s="317" t="s">
        <v>145</v>
      </c>
      <c r="B8" s="318" t="s">
        <v>514</v>
      </c>
      <c r="C8" s="319">
        <v>28254</v>
      </c>
      <c r="D8" s="319">
        <v>0</v>
      </c>
      <c r="E8" s="319">
        <v>46106</v>
      </c>
    </row>
    <row r="9" spans="1:5" ht="22.5" customHeight="1">
      <c r="A9" s="317" t="s">
        <v>147</v>
      </c>
      <c r="B9" s="318" t="s">
        <v>515</v>
      </c>
      <c r="C9" s="319">
        <v>1156</v>
      </c>
      <c r="D9" s="319">
        <v>0</v>
      </c>
      <c r="E9" s="319">
        <v>130</v>
      </c>
    </row>
    <row r="10" spans="1:5" ht="22.5" customHeight="1">
      <c r="A10" s="320" t="s">
        <v>149</v>
      </c>
      <c r="B10" s="321" t="s">
        <v>516</v>
      </c>
      <c r="C10" s="322">
        <v>91169</v>
      </c>
      <c r="D10" s="322">
        <v>0</v>
      </c>
      <c r="E10" s="322">
        <v>132557</v>
      </c>
    </row>
    <row r="11" spans="1:5" ht="22.5" customHeight="1">
      <c r="A11" s="320" t="s">
        <v>155</v>
      </c>
      <c r="B11" s="321" t="s">
        <v>517</v>
      </c>
      <c r="C11" s="322">
        <v>0</v>
      </c>
      <c r="D11" s="322">
        <v>0</v>
      </c>
      <c r="E11" s="322">
        <v>0</v>
      </c>
    </row>
    <row r="12" spans="1:5" ht="22.5" customHeight="1">
      <c r="A12" s="317" t="s">
        <v>170</v>
      </c>
      <c r="B12" s="318" t="s">
        <v>518</v>
      </c>
      <c r="C12" s="319">
        <v>826176</v>
      </c>
      <c r="D12" s="319">
        <v>0</v>
      </c>
      <c r="E12" s="319">
        <v>781240</v>
      </c>
    </row>
    <row r="13" spans="1:5" ht="22.5" customHeight="1">
      <c r="A13" s="317" t="s">
        <v>280</v>
      </c>
      <c r="B13" s="318" t="s">
        <v>519</v>
      </c>
      <c r="C13" s="319">
        <v>276586</v>
      </c>
      <c r="D13" s="319">
        <v>0</v>
      </c>
      <c r="E13" s="319">
        <v>134026</v>
      </c>
    </row>
    <row r="14" spans="1:5" ht="22.5" customHeight="1">
      <c r="A14" s="317" t="s">
        <v>172</v>
      </c>
      <c r="B14" s="318" t="s">
        <v>520</v>
      </c>
      <c r="C14" s="319">
        <v>38807</v>
      </c>
      <c r="D14" s="319">
        <v>0</v>
      </c>
      <c r="E14" s="319">
        <v>3042</v>
      </c>
    </row>
    <row r="15" spans="1:5" ht="22.5" customHeight="1">
      <c r="A15" s="320" t="s">
        <v>174</v>
      </c>
      <c r="B15" s="321" t="s">
        <v>521</v>
      </c>
      <c r="C15" s="322">
        <v>1141569</v>
      </c>
      <c r="D15" s="322">
        <v>0</v>
      </c>
      <c r="E15" s="322">
        <v>918308</v>
      </c>
    </row>
    <row r="16" spans="1:5" ht="22.5" customHeight="1">
      <c r="A16" s="317" t="s">
        <v>522</v>
      </c>
      <c r="B16" s="318" t="s">
        <v>523</v>
      </c>
      <c r="C16" s="319">
        <v>93655</v>
      </c>
      <c r="D16" s="319">
        <v>0</v>
      </c>
      <c r="E16" s="319">
        <v>77114</v>
      </c>
    </row>
    <row r="17" spans="1:5" ht="22.5" customHeight="1">
      <c r="A17" s="317" t="s">
        <v>176</v>
      </c>
      <c r="B17" s="318" t="s">
        <v>524</v>
      </c>
      <c r="C17" s="319">
        <v>75175</v>
      </c>
      <c r="D17" s="319">
        <v>0</v>
      </c>
      <c r="E17" s="319">
        <v>89811</v>
      </c>
    </row>
    <row r="18" spans="1:5" ht="22.5" customHeight="1">
      <c r="A18" s="317" t="s">
        <v>525</v>
      </c>
      <c r="B18" s="318" t="s">
        <v>526</v>
      </c>
      <c r="C18" s="319">
        <v>0</v>
      </c>
      <c r="D18" s="319">
        <v>0</v>
      </c>
      <c r="E18" s="319">
        <v>0</v>
      </c>
    </row>
    <row r="19" spans="1:5" ht="22.5" customHeight="1">
      <c r="A19" s="317" t="s">
        <v>157</v>
      </c>
      <c r="B19" s="318" t="s">
        <v>527</v>
      </c>
      <c r="C19" s="319">
        <v>362</v>
      </c>
      <c r="D19" s="319">
        <v>0</v>
      </c>
      <c r="E19" s="319">
        <v>345</v>
      </c>
    </row>
    <row r="20" spans="1:5" ht="22.5" customHeight="1">
      <c r="A20" s="320" t="s">
        <v>159</v>
      </c>
      <c r="B20" s="321" t="s">
        <v>528</v>
      </c>
      <c r="C20" s="322">
        <v>169192</v>
      </c>
      <c r="D20" s="322">
        <v>0</v>
      </c>
      <c r="E20" s="322">
        <v>167270</v>
      </c>
    </row>
    <row r="21" spans="1:5" ht="22.5" customHeight="1">
      <c r="A21" s="317" t="s">
        <v>161</v>
      </c>
      <c r="B21" s="318" t="s">
        <v>529</v>
      </c>
      <c r="C21" s="319">
        <v>313018</v>
      </c>
      <c r="D21" s="319">
        <v>0</v>
      </c>
      <c r="E21" s="319">
        <v>306965</v>
      </c>
    </row>
    <row r="22" spans="1:5" ht="22.5" customHeight="1">
      <c r="A22" s="317" t="s">
        <v>287</v>
      </c>
      <c r="B22" s="318" t="s">
        <v>530</v>
      </c>
      <c r="C22" s="319">
        <v>28284</v>
      </c>
      <c r="D22" s="319">
        <v>0</v>
      </c>
      <c r="E22" s="319">
        <v>33413</v>
      </c>
    </row>
    <row r="23" spans="1:5" ht="22.5" customHeight="1">
      <c r="A23" s="317" t="s">
        <v>289</v>
      </c>
      <c r="B23" s="318" t="s">
        <v>531</v>
      </c>
      <c r="C23" s="319">
        <v>71009</v>
      </c>
      <c r="D23" s="319">
        <v>0</v>
      </c>
      <c r="E23" s="319">
        <v>76011</v>
      </c>
    </row>
    <row r="24" spans="1:5" ht="22.5" customHeight="1">
      <c r="A24" s="320" t="s">
        <v>291</v>
      </c>
      <c r="B24" s="321" t="s">
        <v>532</v>
      </c>
      <c r="C24" s="322">
        <v>412311</v>
      </c>
      <c r="D24" s="322">
        <v>0</v>
      </c>
      <c r="E24" s="322">
        <v>416389</v>
      </c>
    </row>
    <row r="25" spans="1:5" ht="22.5" customHeight="1">
      <c r="A25" s="320" t="s">
        <v>178</v>
      </c>
      <c r="B25" s="321" t="s">
        <v>533</v>
      </c>
      <c r="C25" s="322">
        <v>0</v>
      </c>
      <c r="D25" s="322">
        <v>0</v>
      </c>
      <c r="E25" s="322">
        <v>81879</v>
      </c>
    </row>
    <row r="26" spans="1:5" ht="22.5" customHeight="1">
      <c r="A26" s="320" t="s">
        <v>294</v>
      </c>
      <c r="B26" s="321" t="s">
        <v>534</v>
      </c>
      <c r="C26" s="322">
        <v>362487</v>
      </c>
      <c r="D26" s="322">
        <v>0</v>
      </c>
      <c r="E26" s="322">
        <v>508571</v>
      </c>
    </row>
    <row r="27" spans="1:5" ht="22.5" customHeight="1">
      <c r="A27" s="320" t="s">
        <v>535</v>
      </c>
      <c r="B27" s="321" t="s">
        <v>536</v>
      </c>
      <c r="C27" s="322">
        <v>288748</v>
      </c>
      <c r="D27" s="322">
        <v>0</v>
      </c>
      <c r="E27" s="322">
        <v>-123244</v>
      </c>
    </row>
    <row r="28" spans="1:5" ht="22.5" customHeight="1">
      <c r="A28" s="317" t="s">
        <v>537</v>
      </c>
      <c r="B28" s="318" t="s">
        <v>538</v>
      </c>
      <c r="C28" s="319">
        <v>0</v>
      </c>
      <c r="D28" s="319">
        <v>0</v>
      </c>
      <c r="E28" s="319">
        <v>0</v>
      </c>
    </row>
    <row r="29" spans="1:5" ht="22.5" customHeight="1">
      <c r="A29" s="317" t="s">
        <v>296</v>
      </c>
      <c r="B29" s="318" t="s">
        <v>539</v>
      </c>
      <c r="C29" s="319">
        <v>211</v>
      </c>
      <c r="D29" s="319">
        <v>0</v>
      </c>
      <c r="E29" s="319">
        <v>181</v>
      </c>
    </row>
    <row r="30" spans="1:5" ht="22.5" customHeight="1">
      <c r="A30" s="317" t="s">
        <v>298</v>
      </c>
      <c r="B30" s="318" t="s">
        <v>540</v>
      </c>
      <c r="C30" s="319">
        <v>660</v>
      </c>
      <c r="D30" s="319">
        <v>0</v>
      </c>
      <c r="E30" s="319">
        <v>0</v>
      </c>
    </row>
    <row r="31" spans="1:5" ht="22.5" customHeight="1">
      <c r="A31" s="317" t="s">
        <v>300</v>
      </c>
      <c r="B31" s="318" t="s">
        <v>541</v>
      </c>
      <c r="C31" s="319">
        <v>0</v>
      </c>
      <c r="D31" s="319">
        <v>0</v>
      </c>
      <c r="E31" s="319">
        <v>0</v>
      </c>
    </row>
    <row r="32" spans="1:5" ht="22.5" customHeight="1">
      <c r="A32" s="320" t="s">
        <v>180</v>
      </c>
      <c r="B32" s="321" t="s">
        <v>542</v>
      </c>
      <c r="C32" s="322">
        <v>871</v>
      </c>
      <c r="D32" s="322">
        <v>0</v>
      </c>
      <c r="E32" s="322">
        <v>181</v>
      </c>
    </row>
    <row r="33" spans="1:5" ht="22.5" customHeight="1">
      <c r="A33" s="317" t="s">
        <v>182</v>
      </c>
      <c r="B33" s="318" t="s">
        <v>543</v>
      </c>
      <c r="C33" s="319">
        <v>1391</v>
      </c>
      <c r="D33" s="319">
        <v>0</v>
      </c>
      <c r="E33" s="319">
        <v>15</v>
      </c>
    </row>
    <row r="34" spans="1:5" ht="22.5" customHeight="1">
      <c r="A34" s="317" t="s">
        <v>303</v>
      </c>
      <c r="B34" s="318" t="s">
        <v>544</v>
      </c>
      <c r="C34" s="319">
        <v>0</v>
      </c>
      <c r="D34" s="319">
        <v>0</v>
      </c>
      <c r="E34" s="319">
        <v>0</v>
      </c>
    </row>
    <row r="35" spans="1:5" ht="22.5" customHeight="1">
      <c r="A35" s="317" t="s">
        <v>305</v>
      </c>
      <c r="B35" s="318" t="s">
        <v>545</v>
      </c>
      <c r="C35" s="319">
        <v>0</v>
      </c>
      <c r="D35" s="319">
        <v>0</v>
      </c>
      <c r="E35" s="319">
        <v>0</v>
      </c>
    </row>
    <row r="36" spans="1:5" ht="22.5" customHeight="1">
      <c r="A36" s="317" t="s">
        <v>307</v>
      </c>
      <c r="B36" s="318" t="s">
        <v>546</v>
      </c>
      <c r="C36" s="319">
        <v>0</v>
      </c>
      <c r="D36" s="319">
        <v>0</v>
      </c>
      <c r="E36" s="319">
        <v>0</v>
      </c>
    </row>
    <row r="37" spans="1:5" ht="22.5" customHeight="1">
      <c r="A37" s="320" t="s">
        <v>309</v>
      </c>
      <c r="B37" s="321" t="s">
        <v>547</v>
      </c>
      <c r="C37" s="322">
        <v>1391</v>
      </c>
      <c r="D37" s="322">
        <v>0</v>
      </c>
      <c r="E37" s="322">
        <v>15</v>
      </c>
    </row>
    <row r="38" spans="1:5" ht="22.5" customHeight="1">
      <c r="A38" s="320" t="s">
        <v>184</v>
      </c>
      <c r="B38" s="321" t="s">
        <v>548</v>
      </c>
      <c r="C38" s="322">
        <v>-520</v>
      </c>
      <c r="D38" s="322">
        <v>0</v>
      </c>
      <c r="E38" s="322">
        <v>166</v>
      </c>
    </row>
    <row r="39" spans="1:5" ht="22.5" customHeight="1">
      <c r="A39" s="320" t="s">
        <v>312</v>
      </c>
      <c r="B39" s="321" t="s">
        <v>549</v>
      </c>
      <c r="C39" s="322">
        <v>288228</v>
      </c>
      <c r="D39" s="322">
        <v>0</v>
      </c>
      <c r="E39" s="322">
        <v>-123078</v>
      </c>
    </row>
    <row r="40" spans="1:5" ht="22.5" customHeight="1">
      <c r="A40" s="317" t="s">
        <v>314</v>
      </c>
      <c r="B40" s="318" t="s">
        <v>550</v>
      </c>
      <c r="C40" s="319">
        <v>2986</v>
      </c>
      <c r="D40" s="319">
        <v>0</v>
      </c>
      <c r="E40" s="319">
        <v>54012</v>
      </c>
    </row>
    <row r="41" spans="1:5" ht="22.5" customHeight="1">
      <c r="A41" s="317" t="s">
        <v>316</v>
      </c>
      <c r="B41" s="318" t="s">
        <v>551</v>
      </c>
      <c r="C41" s="319">
        <v>0</v>
      </c>
      <c r="D41" s="319">
        <v>0</v>
      </c>
      <c r="E41" s="319">
        <v>342688</v>
      </c>
    </row>
    <row r="42" spans="1:5" ht="22.5" customHeight="1">
      <c r="A42" s="320" t="s">
        <v>318</v>
      </c>
      <c r="B42" s="321" t="s">
        <v>552</v>
      </c>
      <c r="C42" s="322">
        <v>2986</v>
      </c>
      <c r="D42" s="322">
        <v>0</v>
      </c>
      <c r="E42" s="322">
        <v>396700</v>
      </c>
    </row>
    <row r="43" spans="1:5" ht="22.5" customHeight="1">
      <c r="A43" s="320" t="s">
        <v>553</v>
      </c>
      <c r="B43" s="321" t="s">
        <v>554</v>
      </c>
      <c r="C43" s="322">
        <v>0</v>
      </c>
      <c r="D43" s="322">
        <v>0</v>
      </c>
      <c r="E43" s="322">
        <v>456733</v>
      </c>
    </row>
    <row r="44" spans="1:5" ht="22.5" customHeight="1">
      <c r="A44" s="320" t="s">
        <v>320</v>
      </c>
      <c r="B44" s="321" t="s">
        <v>555</v>
      </c>
      <c r="C44" s="322">
        <v>2986</v>
      </c>
      <c r="D44" s="322">
        <v>0</v>
      </c>
      <c r="E44" s="322">
        <v>-60033</v>
      </c>
    </row>
    <row r="45" spans="1:5" ht="22.5" customHeight="1">
      <c r="A45" s="320" t="s">
        <v>426</v>
      </c>
      <c r="B45" s="321" t="s">
        <v>556</v>
      </c>
      <c r="C45" s="322">
        <v>291214</v>
      </c>
      <c r="D45" s="322">
        <v>0</v>
      </c>
      <c r="E45" s="322">
        <v>-183111</v>
      </c>
    </row>
    <row r="48" spans="1:5">
      <c r="B48" s="278" t="str">
        <f>Tartalomjegyzék!A20</f>
        <v>Cibakháza, 2016. május 31.</v>
      </c>
    </row>
    <row r="49" spans="2:2">
      <c r="B49" t="s">
        <v>614</v>
      </c>
    </row>
  </sheetData>
  <mergeCells count="3">
    <mergeCell ref="A2:E2"/>
    <mergeCell ref="B3:E3"/>
    <mergeCell ref="D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7"/>
  <sheetViews>
    <sheetView workbookViewId="0">
      <selection activeCell="A26" sqref="A26"/>
    </sheetView>
  </sheetViews>
  <sheetFormatPr defaultRowHeight="15"/>
  <cols>
    <col min="1" max="1" width="75.140625" customWidth="1"/>
    <col min="2" max="2" width="11.85546875" customWidth="1"/>
    <col min="3" max="3" width="13.5703125" customWidth="1"/>
    <col min="4" max="4" width="13.7109375" customWidth="1"/>
  </cols>
  <sheetData>
    <row r="1" spans="1:13">
      <c r="A1" s="522" t="s">
        <v>570</v>
      </c>
      <c r="B1" s="522"/>
      <c r="C1" s="522"/>
      <c r="D1" s="523"/>
      <c r="F1" s="323"/>
      <c r="G1" s="323"/>
      <c r="H1" s="323"/>
      <c r="I1" s="323"/>
      <c r="J1" s="323"/>
      <c r="K1" s="323"/>
      <c r="L1" s="323"/>
      <c r="M1" s="323"/>
    </row>
    <row r="2" spans="1:13">
      <c r="A2" s="323"/>
      <c r="B2" s="323"/>
      <c r="C2" s="323"/>
      <c r="D2" s="323"/>
      <c r="E2" s="324"/>
      <c r="F2" s="324"/>
      <c r="G2" s="324"/>
      <c r="H2" s="324"/>
      <c r="I2" s="324"/>
      <c r="J2" s="324"/>
      <c r="K2" s="324"/>
      <c r="L2" s="324"/>
      <c r="M2" s="324"/>
    </row>
    <row r="3" spans="1:13">
      <c r="A3" s="323"/>
      <c r="B3" s="323"/>
      <c r="C3" s="323"/>
      <c r="D3" s="323"/>
      <c r="E3" s="324"/>
      <c r="F3" s="324"/>
      <c r="G3" s="324"/>
      <c r="H3" s="324"/>
      <c r="I3" s="324"/>
      <c r="J3" s="324"/>
      <c r="K3" s="324"/>
      <c r="L3" s="324"/>
      <c r="M3" s="324"/>
    </row>
    <row r="4" spans="1:13" ht="18">
      <c r="A4" s="524" t="s">
        <v>559</v>
      </c>
      <c r="B4" s="525"/>
      <c r="C4" s="525"/>
      <c r="D4" s="523"/>
      <c r="E4" s="325"/>
      <c r="F4" s="325"/>
      <c r="G4" s="325"/>
      <c r="H4" s="325"/>
      <c r="I4" s="325"/>
      <c r="J4" s="325"/>
      <c r="K4" s="325"/>
      <c r="L4" s="325"/>
      <c r="M4" s="325"/>
    </row>
    <row r="5" spans="1:13" ht="18">
      <c r="A5" s="526" t="s">
        <v>560</v>
      </c>
      <c r="B5" s="526"/>
      <c r="C5" s="526"/>
      <c r="D5" s="326"/>
      <c r="E5" s="326"/>
      <c r="F5" s="326"/>
      <c r="G5" s="326"/>
      <c r="H5" s="326"/>
      <c r="I5" s="326"/>
      <c r="J5" s="326"/>
      <c r="K5" s="326"/>
      <c r="L5" s="326"/>
      <c r="M5" s="326"/>
    </row>
    <row r="6" spans="1:13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</row>
    <row r="7" spans="1:13">
      <c r="A7" s="323"/>
      <c r="B7" s="323"/>
      <c r="C7" s="323"/>
      <c r="D7" s="323"/>
      <c r="E7" s="323"/>
      <c r="F7" s="327"/>
      <c r="G7" s="327"/>
      <c r="H7" s="327"/>
      <c r="I7" s="327"/>
      <c r="J7" s="327"/>
      <c r="K7" s="327"/>
      <c r="L7" s="327"/>
      <c r="M7" s="328"/>
    </row>
    <row r="8" spans="1:13">
      <c r="A8" s="323"/>
      <c r="B8" s="323"/>
      <c r="D8" s="324" t="s">
        <v>561</v>
      </c>
      <c r="E8" s="323"/>
      <c r="G8" s="323"/>
      <c r="H8" s="323"/>
      <c r="I8" s="323"/>
      <c r="J8" s="323"/>
      <c r="K8" s="323"/>
      <c r="L8" s="323"/>
      <c r="M8" s="323"/>
    </row>
    <row r="9" spans="1:13" ht="25.5">
      <c r="A9" s="329" t="s">
        <v>79</v>
      </c>
      <c r="B9" s="329" t="s">
        <v>562</v>
      </c>
      <c r="C9" s="329" t="s">
        <v>563</v>
      </c>
      <c r="D9" s="329" t="s">
        <v>564</v>
      </c>
      <c r="E9" s="330"/>
      <c r="F9" s="330"/>
      <c r="G9" s="330"/>
      <c r="H9" s="330"/>
      <c r="I9" s="330"/>
      <c r="J9" s="330"/>
      <c r="K9" s="330"/>
      <c r="L9" s="330"/>
      <c r="M9" s="331"/>
    </row>
    <row r="10" spans="1:13">
      <c r="A10" s="332"/>
      <c r="B10" s="333"/>
      <c r="C10" s="334"/>
      <c r="D10" s="334"/>
      <c r="E10" s="335"/>
      <c r="F10" s="335"/>
      <c r="G10" s="335"/>
      <c r="H10" s="335"/>
      <c r="I10" s="335"/>
      <c r="J10" s="335"/>
      <c r="K10" s="335"/>
      <c r="L10" s="335"/>
      <c r="M10" s="336"/>
    </row>
    <row r="11" spans="1:13">
      <c r="A11" s="337" t="s">
        <v>565</v>
      </c>
      <c r="B11" s="338" t="s">
        <v>566</v>
      </c>
      <c r="C11" s="339" t="s">
        <v>567</v>
      </c>
      <c r="D11" s="339" t="s">
        <v>568</v>
      </c>
      <c r="E11" s="335"/>
      <c r="F11" s="335"/>
      <c r="G11" s="335"/>
      <c r="H11" s="335"/>
      <c r="I11" s="335"/>
      <c r="J11" s="335"/>
      <c r="K11" s="335"/>
      <c r="L11" s="335"/>
      <c r="M11" s="336"/>
    </row>
    <row r="12" spans="1:13">
      <c r="A12" s="332" t="s">
        <v>571</v>
      </c>
      <c r="B12" s="340">
        <v>100</v>
      </c>
      <c r="C12" s="341"/>
      <c r="D12" s="342">
        <v>0</v>
      </c>
      <c r="E12" s="343"/>
      <c r="F12" s="343"/>
      <c r="G12" s="344"/>
      <c r="H12" s="343"/>
      <c r="I12" s="343"/>
      <c r="J12" s="343"/>
      <c r="K12" s="343"/>
      <c r="L12" s="343"/>
      <c r="M12" s="345"/>
    </row>
    <row r="13" spans="1:13">
      <c r="A13" s="31"/>
      <c r="B13" s="31"/>
      <c r="C13" s="31"/>
      <c r="D13" s="31"/>
    </row>
    <row r="14" spans="1:13">
      <c r="A14" s="346" t="s">
        <v>569</v>
      </c>
      <c r="B14" s="347">
        <v>100</v>
      </c>
      <c r="C14" s="31"/>
      <c r="D14" s="31">
        <v>0</v>
      </c>
    </row>
    <row r="17" spans="1:1">
      <c r="A17" t="str">
        <f>Tartalomjegyzék!A20</f>
        <v>Cibakháza, 2016. május 31.</v>
      </c>
    </row>
  </sheetData>
  <mergeCells count="3">
    <mergeCell ref="A1:D1"/>
    <mergeCell ref="A4:D4"/>
    <mergeCell ref="A5:C5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31"/>
  <sheetViews>
    <sheetView topLeftCell="A19" workbookViewId="0">
      <selection activeCell="G32" sqref="G32"/>
    </sheetView>
  </sheetViews>
  <sheetFormatPr defaultRowHeight="15"/>
  <cols>
    <col min="1" max="1" width="5.85546875" customWidth="1"/>
    <col min="2" max="2" width="28.140625" customWidth="1"/>
    <col min="3" max="3" width="16.28515625" customWidth="1"/>
    <col min="4" max="4" width="17.5703125" customWidth="1"/>
    <col min="5" max="6" width="15.42578125" customWidth="1"/>
    <col min="7" max="7" width="17.140625" customWidth="1"/>
  </cols>
  <sheetData>
    <row r="1" spans="1:14">
      <c r="G1" s="362" t="s">
        <v>587</v>
      </c>
      <c r="H1" s="323"/>
      <c r="I1" s="323"/>
      <c r="J1" s="311"/>
    </row>
    <row r="2" spans="1:14" ht="16.5">
      <c r="A2" s="527" t="s">
        <v>588</v>
      </c>
      <c r="B2" s="528"/>
      <c r="C2" s="528"/>
      <c r="D2" s="528"/>
      <c r="E2" s="528"/>
      <c r="F2" s="528"/>
      <c r="G2" s="528"/>
      <c r="H2" s="348"/>
      <c r="I2" s="348"/>
      <c r="J2" s="348"/>
      <c r="K2" s="348"/>
      <c r="L2" s="348"/>
      <c r="M2" s="348"/>
      <c r="N2" s="348"/>
    </row>
    <row r="3" spans="1:14" ht="16.5">
      <c r="A3" s="348"/>
      <c r="B3" s="529" t="s">
        <v>572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</row>
    <row r="4" spans="1:14" ht="17.25" thickBot="1">
      <c r="A4" s="348"/>
      <c r="B4" s="348"/>
      <c r="C4" s="348"/>
      <c r="D4" s="348"/>
      <c r="E4" s="383"/>
      <c r="F4" s="348"/>
      <c r="G4" s="349" t="s">
        <v>561</v>
      </c>
      <c r="H4" s="348"/>
      <c r="I4" s="348"/>
      <c r="J4" s="348"/>
      <c r="K4" s="348"/>
      <c r="L4" s="348"/>
      <c r="M4" s="348"/>
      <c r="N4" s="348"/>
    </row>
    <row r="5" spans="1:14" ht="45.75" thickBot="1">
      <c r="A5" s="350" t="s">
        <v>573</v>
      </c>
      <c r="B5" s="406" t="s">
        <v>574</v>
      </c>
      <c r="C5" s="369" t="s">
        <v>575</v>
      </c>
      <c r="D5" s="398" t="s">
        <v>576</v>
      </c>
      <c r="E5" s="531" t="s">
        <v>576</v>
      </c>
      <c r="F5" s="532"/>
      <c r="G5" s="533"/>
      <c r="H5" s="399"/>
      <c r="I5" s="351"/>
      <c r="J5" s="351"/>
      <c r="K5" s="351"/>
      <c r="L5" s="351"/>
      <c r="M5" s="351"/>
      <c r="N5" s="351"/>
    </row>
    <row r="6" spans="1:14" ht="27" thickBot="1">
      <c r="A6" s="352"/>
      <c r="B6" s="404">
        <v>2</v>
      </c>
      <c r="C6" s="405">
        <v>3</v>
      </c>
      <c r="D6" s="404">
        <v>4</v>
      </c>
      <c r="E6" s="403" t="s">
        <v>577</v>
      </c>
      <c r="F6" s="402" t="s">
        <v>578</v>
      </c>
      <c r="G6" s="385" t="s">
        <v>579</v>
      </c>
      <c r="H6" s="387"/>
      <c r="I6" s="348"/>
      <c r="J6" s="348"/>
      <c r="K6" s="348"/>
      <c r="L6" s="348"/>
      <c r="M6" s="348"/>
      <c r="N6" s="348"/>
    </row>
    <row r="7" spans="1:14" ht="45">
      <c r="A7" s="353" t="s">
        <v>580</v>
      </c>
      <c r="B7" s="370" t="s">
        <v>595</v>
      </c>
      <c r="C7" s="371" t="s">
        <v>78</v>
      </c>
      <c r="D7" s="372" t="s">
        <v>78</v>
      </c>
      <c r="E7" s="400"/>
      <c r="F7" s="384"/>
      <c r="G7" s="401"/>
      <c r="H7" s="387"/>
      <c r="I7" s="348"/>
      <c r="J7" s="348"/>
      <c r="K7" s="348"/>
      <c r="L7" s="348"/>
      <c r="M7" s="348"/>
      <c r="N7" s="348"/>
    </row>
    <row r="8" spans="1:14" ht="45">
      <c r="A8" s="353" t="s">
        <v>581</v>
      </c>
      <c r="B8" s="373" t="s">
        <v>596</v>
      </c>
      <c r="C8" s="374" t="s">
        <v>78</v>
      </c>
      <c r="D8" s="375" t="s">
        <v>78</v>
      </c>
      <c r="E8" s="354"/>
      <c r="F8" s="354"/>
      <c r="G8" s="386"/>
      <c r="H8" s="387"/>
      <c r="I8" s="348"/>
      <c r="J8" s="348"/>
      <c r="K8" s="348"/>
      <c r="L8" s="348"/>
      <c r="M8" s="348"/>
      <c r="N8" s="348"/>
    </row>
    <row r="9" spans="1:14" ht="45">
      <c r="A9" s="353" t="s">
        <v>582</v>
      </c>
      <c r="B9" s="373" t="s">
        <v>597</v>
      </c>
      <c r="C9" s="374" t="s">
        <v>78</v>
      </c>
      <c r="D9" s="375" t="s">
        <v>78</v>
      </c>
      <c r="E9" s="354"/>
      <c r="F9" s="354"/>
      <c r="G9" s="386"/>
      <c r="H9" s="387"/>
      <c r="I9" s="348"/>
      <c r="J9" s="348"/>
      <c r="K9" s="348"/>
      <c r="L9" s="348"/>
      <c r="M9" s="348"/>
      <c r="N9" s="348"/>
    </row>
    <row r="10" spans="1:14" ht="45">
      <c r="A10" s="353" t="s">
        <v>583</v>
      </c>
      <c r="B10" s="373" t="s">
        <v>598</v>
      </c>
      <c r="C10" s="374" t="s">
        <v>78</v>
      </c>
      <c r="D10" s="375" t="s">
        <v>78</v>
      </c>
      <c r="E10" s="354"/>
      <c r="F10" s="354"/>
      <c r="G10" s="386"/>
      <c r="H10" s="387"/>
      <c r="I10" s="348"/>
      <c r="J10" s="348"/>
      <c r="K10" s="348"/>
      <c r="L10" s="348"/>
      <c r="M10" s="348"/>
      <c r="N10" s="348"/>
    </row>
    <row r="11" spans="1:14" ht="45">
      <c r="A11" s="353" t="s">
        <v>584</v>
      </c>
      <c r="B11" s="373" t="s">
        <v>599</v>
      </c>
      <c r="C11" s="374"/>
      <c r="D11" s="376">
        <f>SUM(D12:D18)</f>
        <v>0</v>
      </c>
      <c r="E11" s="355"/>
      <c r="F11" s="354"/>
      <c r="G11" s="386"/>
      <c r="H11" s="387"/>
      <c r="I11" s="348"/>
      <c r="J11" s="348"/>
      <c r="K11" s="348"/>
      <c r="L11" s="348"/>
      <c r="M11" s="348"/>
      <c r="N11" s="348"/>
    </row>
    <row r="12" spans="1:14" ht="16.5">
      <c r="A12" s="356" t="s">
        <v>585</v>
      </c>
      <c r="B12" s="373" t="s">
        <v>600</v>
      </c>
      <c r="C12" s="374">
        <v>11000</v>
      </c>
      <c r="D12" s="375">
        <v>0</v>
      </c>
      <c r="E12" s="354"/>
      <c r="F12" s="354"/>
      <c r="G12" s="386"/>
      <c r="H12" s="387"/>
      <c r="I12" s="348"/>
      <c r="J12" s="348"/>
      <c r="K12" s="348"/>
      <c r="L12" s="348"/>
      <c r="M12" s="348"/>
      <c r="N12" s="348"/>
    </row>
    <row r="13" spans="1:14" ht="16.5">
      <c r="A13" s="356"/>
      <c r="B13" s="377" t="s">
        <v>601</v>
      </c>
      <c r="C13" s="374" t="s">
        <v>78</v>
      </c>
      <c r="D13" s="375" t="s">
        <v>78</v>
      </c>
      <c r="E13" s="354"/>
      <c r="F13" s="354"/>
      <c r="G13" s="386"/>
      <c r="H13" s="387"/>
      <c r="I13" s="348"/>
      <c r="J13" s="348"/>
      <c r="K13" s="348"/>
      <c r="L13" s="348"/>
      <c r="M13" s="348"/>
      <c r="N13" s="348"/>
    </row>
    <row r="14" spans="1:14" ht="30">
      <c r="A14" s="357"/>
      <c r="B14" s="377" t="s">
        <v>602</v>
      </c>
      <c r="C14" s="374">
        <v>2</v>
      </c>
      <c r="D14" s="375" t="s">
        <v>78</v>
      </c>
      <c r="E14" s="358"/>
      <c r="F14" s="358"/>
      <c r="G14" s="388"/>
      <c r="H14" s="389"/>
      <c r="I14" s="327"/>
      <c r="J14" s="327"/>
      <c r="K14" s="327"/>
      <c r="L14" s="327"/>
      <c r="M14" s="327"/>
      <c r="N14" s="327"/>
    </row>
    <row r="15" spans="1:14" ht="30">
      <c r="A15" s="357"/>
      <c r="B15" s="377" t="s">
        <v>603</v>
      </c>
      <c r="C15" s="374">
        <v>15000</v>
      </c>
      <c r="D15" s="375" t="s">
        <v>78</v>
      </c>
      <c r="E15" s="358"/>
      <c r="F15" s="358"/>
      <c r="G15" s="388"/>
      <c r="H15" s="390"/>
    </row>
    <row r="16" spans="1:14" ht="45">
      <c r="A16" s="359"/>
      <c r="B16" s="377" t="s">
        <v>604</v>
      </c>
      <c r="C16" s="374"/>
      <c r="D16" s="375" t="s">
        <v>78</v>
      </c>
      <c r="E16" s="358"/>
      <c r="F16" s="358"/>
      <c r="G16" s="391"/>
    </row>
    <row r="17" spans="1:8" ht="30">
      <c r="A17" s="353" t="s">
        <v>586</v>
      </c>
      <c r="B17" s="377" t="s">
        <v>605</v>
      </c>
      <c r="C17" s="374"/>
      <c r="D17" s="375" t="s">
        <v>78</v>
      </c>
      <c r="E17" s="360"/>
      <c r="F17" s="360"/>
      <c r="G17" s="388"/>
      <c r="H17" s="390"/>
    </row>
    <row r="18" spans="1:8" ht="60">
      <c r="A18" s="361"/>
      <c r="B18" s="377" t="s">
        <v>606</v>
      </c>
      <c r="C18" s="374">
        <v>62000</v>
      </c>
      <c r="D18" s="375" t="s">
        <v>78</v>
      </c>
      <c r="E18" s="381"/>
      <c r="F18" s="381"/>
      <c r="G18" s="392"/>
      <c r="H18" s="390"/>
    </row>
    <row r="19" spans="1:8" ht="30">
      <c r="B19" s="377" t="s">
        <v>607</v>
      </c>
      <c r="C19" s="374">
        <v>8</v>
      </c>
      <c r="D19" s="382"/>
      <c r="E19" s="395"/>
      <c r="F19" s="31"/>
      <c r="G19" s="168"/>
      <c r="H19" s="390"/>
    </row>
    <row r="20" spans="1:8">
      <c r="B20" s="377" t="s">
        <v>608</v>
      </c>
      <c r="C20" s="374">
        <v>800</v>
      </c>
      <c r="D20" s="375"/>
      <c r="E20" s="395"/>
      <c r="F20" s="31"/>
      <c r="G20" s="168"/>
      <c r="H20" s="390"/>
    </row>
    <row r="21" spans="1:8" ht="30">
      <c r="B21" s="373" t="s">
        <v>609</v>
      </c>
      <c r="C21" s="374">
        <v>5170</v>
      </c>
      <c r="D21" s="374">
        <v>651</v>
      </c>
      <c r="E21" s="374">
        <v>261</v>
      </c>
      <c r="F21" s="374">
        <v>390</v>
      </c>
      <c r="G21" s="168"/>
      <c r="H21" s="390"/>
    </row>
    <row r="22" spans="1:8" ht="45">
      <c r="B22" s="373" t="s">
        <v>610</v>
      </c>
      <c r="C22" s="374" t="s">
        <v>78</v>
      </c>
      <c r="D22" s="382" t="s">
        <v>78</v>
      </c>
      <c r="E22" s="395"/>
      <c r="F22" s="31"/>
      <c r="G22" s="393"/>
    </row>
    <row r="23" spans="1:8" ht="30">
      <c r="B23" s="373" t="s">
        <v>611</v>
      </c>
      <c r="C23" s="374" t="s">
        <v>78</v>
      </c>
      <c r="D23" s="382" t="s">
        <v>78</v>
      </c>
      <c r="E23" s="395"/>
      <c r="F23" s="31"/>
      <c r="G23" s="168"/>
      <c r="H23" s="390"/>
    </row>
    <row r="24" spans="1:8">
      <c r="B24" s="373" t="s">
        <v>612</v>
      </c>
      <c r="C24" s="374">
        <v>1000</v>
      </c>
      <c r="D24" s="382" t="s">
        <v>78</v>
      </c>
      <c r="E24" s="395"/>
      <c r="F24" s="31"/>
      <c r="G24" s="393"/>
    </row>
    <row r="25" spans="1:8">
      <c r="B25" s="373" t="s">
        <v>613</v>
      </c>
      <c r="C25" s="374">
        <v>20</v>
      </c>
      <c r="D25" s="375" t="s">
        <v>78</v>
      </c>
      <c r="E25" s="395"/>
      <c r="F25" s="31"/>
      <c r="G25" s="168"/>
      <c r="H25" s="390"/>
    </row>
    <row r="26" spans="1:8" ht="15.75" thickBot="1">
      <c r="B26" s="378" t="s">
        <v>569</v>
      </c>
      <c r="C26" s="379">
        <f>SUM(C7:C25)-C11</f>
        <v>95000</v>
      </c>
      <c r="D26" s="380">
        <f>SUM(D7:D25)-D11</f>
        <v>651</v>
      </c>
      <c r="E26" s="380">
        <f t="shared" ref="E26:G26" si="0">SUM(E7:E25)-E11</f>
        <v>261</v>
      </c>
      <c r="F26" s="380">
        <f t="shared" si="0"/>
        <v>390</v>
      </c>
      <c r="G26" s="380">
        <f t="shared" si="0"/>
        <v>0</v>
      </c>
    </row>
    <row r="27" spans="1:8">
      <c r="F27" s="394"/>
    </row>
    <row r="30" spans="1:8">
      <c r="E30" s="396"/>
    </row>
    <row r="31" spans="1:8">
      <c r="E31" s="397"/>
    </row>
  </sheetData>
  <mergeCells count="3">
    <mergeCell ref="A2:G2"/>
    <mergeCell ref="B3:N3"/>
    <mergeCell ref="E5:G5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54"/>
  <sheetViews>
    <sheetView view="pageBreakPreview" topLeftCell="AA19" zoomScaleSheetLayoutView="100" workbookViewId="0">
      <selection activeCell="AM39" sqref="AM39"/>
    </sheetView>
  </sheetViews>
  <sheetFormatPr defaultRowHeight="15"/>
  <cols>
    <col min="1" max="1" width="5.28515625" style="219" customWidth="1"/>
    <col min="2" max="2" width="57.5703125" style="250" bestFit="1" customWidth="1"/>
    <col min="3" max="3" width="13.85546875" style="249" bestFit="1" customWidth="1"/>
    <col min="4" max="4" width="14.85546875" style="249" bestFit="1" customWidth="1"/>
    <col min="5" max="5" width="12.7109375" style="249" bestFit="1" customWidth="1"/>
    <col min="6" max="6" width="14.42578125" style="249" bestFit="1" customWidth="1"/>
    <col min="7" max="7" width="12.7109375" style="249" bestFit="1" customWidth="1"/>
    <col min="8" max="8" width="14.85546875" style="249" bestFit="1" customWidth="1"/>
    <col min="9" max="9" width="12.7109375" style="249" bestFit="1" customWidth="1"/>
    <col min="10" max="10" width="14.42578125" style="249" bestFit="1" customWidth="1"/>
    <col min="11" max="11" width="11.5703125" style="249" bestFit="1" customWidth="1"/>
    <col min="12" max="12" width="14.85546875" style="249" bestFit="1" customWidth="1"/>
    <col min="13" max="13" width="11.5703125" style="249" bestFit="1" customWidth="1"/>
    <col min="14" max="14" width="14" style="249" bestFit="1" customWidth="1"/>
    <col min="15" max="15" width="12.7109375" style="249" bestFit="1" customWidth="1"/>
    <col min="16" max="16" width="14.85546875" style="249" bestFit="1" customWidth="1"/>
    <col min="17" max="17" width="12.7109375" style="249" bestFit="1" customWidth="1"/>
    <col min="18" max="18" width="14.42578125" style="249" customWidth="1"/>
    <col min="19" max="19" width="12.7109375" style="249" bestFit="1" customWidth="1"/>
    <col min="20" max="20" width="14.85546875" style="249" bestFit="1" customWidth="1"/>
    <col min="21" max="22" width="14.42578125" style="249" customWidth="1"/>
    <col min="23" max="23" width="12.7109375" style="249" bestFit="1" customWidth="1"/>
    <col min="24" max="24" width="14.85546875" style="249" bestFit="1" customWidth="1"/>
    <col min="25" max="25" width="12.7109375" style="249" bestFit="1" customWidth="1"/>
    <col min="26" max="26" width="14.42578125" style="249" bestFit="1" customWidth="1"/>
    <col min="27" max="27" width="12.7109375" style="249" bestFit="1" customWidth="1"/>
    <col min="28" max="28" width="14.85546875" style="249" bestFit="1" customWidth="1"/>
    <col min="29" max="29" width="12.7109375" style="249" bestFit="1" customWidth="1"/>
    <col min="30" max="30" width="14.42578125" style="249" customWidth="1"/>
    <col min="31" max="31" width="12.7109375" style="249" bestFit="1" customWidth="1"/>
    <col min="32" max="32" width="14.85546875" style="249" bestFit="1" customWidth="1"/>
    <col min="33" max="33" width="12.7109375" style="249" bestFit="1" customWidth="1"/>
    <col min="34" max="34" width="14.42578125" style="249" bestFit="1" customWidth="1"/>
    <col min="35" max="35" width="12.7109375" style="249" bestFit="1" customWidth="1"/>
    <col min="36" max="36" width="14.85546875" style="249" bestFit="1" customWidth="1"/>
    <col min="37" max="38" width="14.42578125" style="249" bestFit="1" customWidth="1"/>
    <col min="39" max="39" width="11" style="219" customWidth="1"/>
    <col min="40" max="40" width="10.7109375" style="219" bestFit="1" customWidth="1"/>
    <col min="41" max="41" width="17.28515625" style="219" bestFit="1" customWidth="1"/>
    <col min="42" max="42" width="10" style="219" bestFit="1" customWidth="1"/>
    <col min="43" max="287" width="9.140625" style="219"/>
    <col min="288" max="288" width="49.5703125" style="219" bestFit="1" customWidth="1"/>
    <col min="289" max="289" width="18" style="219" bestFit="1" customWidth="1"/>
    <col min="290" max="290" width="11" style="219" customWidth="1"/>
    <col min="291" max="291" width="14.42578125" style="219" bestFit="1" customWidth="1"/>
    <col min="292" max="292" width="20.28515625" style="219" customWidth="1"/>
    <col min="293" max="293" width="12.7109375" style="219" bestFit="1" customWidth="1"/>
    <col min="294" max="294" width="12.85546875" style="219" bestFit="1" customWidth="1"/>
    <col min="295" max="295" width="11" style="219" customWidth="1"/>
    <col min="296" max="296" width="10.7109375" style="219" bestFit="1" customWidth="1"/>
    <col min="297" max="297" width="17.28515625" style="219" bestFit="1" customWidth="1"/>
    <col min="298" max="543" width="9.140625" style="219"/>
    <col min="544" max="544" width="49.5703125" style="219" bestFit="1" customWidth="1"/>
    <col min="545" max="545" width="18" style="219" bestFit="1" customWidth="1"/>
    <col min="546" max="546" width="11" style="219" customWidth="1"/>
    <col min="547" max="547" width="14.42578125" style="219" bestFit="1" customWidth="1"/>
    <col min="548" max="548" width="20.28515625" style="219" customWidth="1"/>
    <col min="549" max="549" width="12.7109375" style="219" bestFit="1" customWidth="1"/>
    <col min="550" max="550" width="12.85546875" style="219" bestFit="1" customWidth="1"/>
    <col min="551" max="551" width="11" style="219" customWidth="1"/>
    <col min="552" max="552" width="10.7109375" style="219" bestFit="1" customWidth="1"/>
    <col min="553" max="553" width="17.28515625" style="219" bestFit="1" customWidth="1"/>
    <col min="554" max="799" width="9.140625" style="219"/>
    <col min="800" max="800" width="49.5703125" style="219" bestFit="1" customWidth="1"/>
    <col min="801" max="801" width="18" style="219" bestFit="1" customWidth="1"/>
    <col min="802" max="802" width="11" style="219" customWidth="1"/>
    <col min="803" max="803" width="14.42578125" style="219" bestFit="1" customWidth="1"/>
    <col min="804" max="804" width="20.28515625" style="219" customWidth="1"/>
    <col min="805" max="805" width="12.7109375" style="219" bestFit="1" customWidth="1"/>
    <col min="806" max="806" width="12.85546875" style="219" bestFit="1" customWidth="1"/>
    <col min="807" max="807" width="11" style="219" customWidth="1"/>
    <col min="808" max="808" width="10.7109375" style="219" bestFit="1" customWidth="1"/>
    <col min="809" max="809" width="17.28515625" style="219" bestFit="1" customWidth="1"/>
    <col min="810" max="1055" width="9.140625" style="219"/>
    <col min="1056" max="1056" width="49.5703125" style="219" bestFit="1" customWidth="1"/>
    <col min="1057" max="1057" width="18" style="219" bestFit="1" customWidth="1"/>
    <col min="1058" max="1058" width="11" style="219" customWidth="1"/>
    <col min="1059" max="1059" width="14.42578125" style="219" bestFit="1" customWidth="1"/>
    <col min="1060" max="1060" width="20.28515625" style="219" customWidth="1"/>
    <col min="1061" max="1061" width="12.7109375" style="219" bestFit="1" customWidth="1"/>
    <col min="1062" max="1062" width="12.85546875" style="219" bestFit="1" customWidth="1"/>
    <col min="1063" max="1063" width="11" style="219" customWidth="1"/>
    <col min="1064" max="1064" width="10.7109375" style="219" bestFit="1" customWidth="1"/>
    <col min="1065" max="1065" width="17.28515625" style="219" bestFit="1" customWidth="1"/>
    <col min="1066" max="1311" width="9.140625" style="219"/>
    <col min="1312" max="1312" width="49.5703125" style="219" bestFit="1" customWidth="1"/>
    <col min="1313" max="1313" width="18" style="219" bestFit="1" customWidth="1"/>
    <col min="1314" max="1314" width="11" style="219" customWidth="1"/>
    <col min="1315" max="1315" width="14.42578125" style="219" bestFit="1" customWidth="1"/>
    <col min="1316" max="1316" width="20.28515625" style="219" customWidth="1"/>
    <col min="1317" max="1317" width="12.7109375" style="219" bestFit="1" customWidth="1"/>
    <col min="1318" max="1318" width="12.85546875" style="219" bestFit="1" customWidth="1"/>
    <col min="1319" max="1319" width="11" style="219" customWidth="1"/>
    <col min="1320" max="1320" width="10.7109375" style="219" bestFit="1" customWidth="1"/>
    <col min="1321" max="1321" width="17.28515625" style="219" bestFit="1" customWidth="1"/>
    <col min="1322" max="1567" width="9.140625" style="219"/>
    <col min="1568" max="1568" width="49.5703125" style="219" bestFit="1" customWidth="1"/>
    <col min="1569" max="1569" width="18" style="219" bestFit="1" customWidth="1"/>
    <col min="1570" max="1570" width="11" style="219" customWidth="1"/>
    <col min="1571" max="1571" width="14.42578125" style="219" bestFit="1" customWidth="1"/>
    <col min="1572" max="1572" width="20.28515625" style="219" customWidth="1"/>
    <col min="1573" max="1573" width="12.7109375" style="219" bestFit="1" customWidth="1"/>
    <col min="1574" max="1574" width="12.85546875" style="219" bestFit="1" customWidth="1"/>
    <col min="1575" max="1575" width="11" style="219" customWidth="1"/>
    <col min="1576" max="1576" width="10.7109375" style="219" bestFit="1" customWidth="1"/>
    <col min="1577" max="1577" width="17.28515625" style="219" bestFit="1" customWidth="1"/>
    <col min="1578" max="1823" width="9.140625" style="219"/>
    <col min="1824" max="1824" width="49.5703125" style="219" bestFit="1" customWidth="1"/>
    <col min="1825" max="1825" width="18" style="219" bestFit="1" customWidth="1"/>
    <col min="1826" max="1826" width="11" style="219" customWidth="1"/>
    <col min="1827" max="1827" width="14.42578125" style="219" bestFit="1" customWidth="1"/>
    <col min="1828" max="1828" width="20.28515625" style="219" customWidth="1"/>
    <col min="1829" max="1829" width="12.7109375" style="219" bestFit="1" customWidth="1"/>
    <col min="1830" max="1830" width="12.85546875" style="219" bestFit="1" customWidth="1"/>
    <col min="1831" max="1831" width="11" style="219" customWidth="1"/>
    <col min="1832" max="1832" width="10.7109375" style="219" bestFit="1" customWidth="1"/>
    <col min="1833" max="1833" width="17.28515625" style="219" bestFit="1" customWidth="1"/>
    <col min="1834" max="2079" width="9.140625" style="219"/>
    <col min="2080" max="2080" width="49.5703125" style="219" bestFit="1" customWidth="1"/>
    <col min="2081" max="2081" width="18" style="219" bestFit="1" customWidth="1"/>
    <col min="2082" max="2082" width="11" style="219" customWidth="1"/>
    <col min="2083" max="2083" width="14.42578125" style="219" bestFit="1" customWidth="1"/>
    <col min="2084" max="2084" width="20.28515625" style="219" customWidth="1"/>
    <col min="2085" max="2085" width="12.7109375" style="219" bestFit="1" customWidth="1"/>
    <col min="2086" max="2086" width="12.85546875" style="219" bestFit="1" customWidth="1"/>
    <col min="2087" max="2087" width="11" style="219" customWidth="1"/>
    <col min="2088" max="2088" width="10.7109375" style="219" bestFit="1" customWidth="1"/>
    <col min="2089" max="2089" width="17.28515625" style="219" bestFit="1" customWidth="1"/>
    <col min="2090" max="2335" width="9.140625" style="219"/>
    <col min="2336" max="2336" width="49.5703125" style="219" bestFit="1" customWidth="1"/>
    <col min="2337" max="2337" width="18" style="219" bestFit="1" customWidth="1"/>
    <col min="2338" max="2338" width="11" style="219" customWidth="1"/>
    <col min="2339" max="2339" width="14.42578125" style="219" bestFit="1" customWidth="1"/>
    <col min="2340" max="2340" width="20.28515625" style="219" customWidth="1"/>
    <col min="2341" max="2341" width="12.7109375" style="219" bestFit="1" customWidth="1"/>
    <col min="2342" max="2342" width="12.85546875" style="219" bestFit="1" customWidth="1"/>
    <col min="2343" max="2343" width="11" style="219" customWidth="1"/>
    <col min="2344" max="2344" width="10.7109375" style="219" bestFit="1" customWidth="1"/>
    <col min="2345" max="2345" width="17.28515625" style="219" bestFit="1" customWidth="1"/>
    <col min="2346" max="2591" width="9.140625" style="219"/>
    <col min="2592" max="2592" width="49.5703125" style="219" bestFit="1" customWidth="1"/>
    <col min="2593" max="2593" width="18" style="219" bestFit="1" customWidth="1"/>
    <col min="2594" max="2594" width="11" style="219" customWidth="1"/>
    <col min="2595" max="2595" width="14.42578125" style="219" bestFit="1" customWidth="1"/>
    <col min="2596" max="2596" width="20.28515625" style="219" customWidth="1"/>
    <col min="2597" max="2597" width="12.7109375" style="219" bestFit="1" customWidth="1"/>
    <col min="2598" max="2598" width="12.85546875" style="219" bestFit="1" customWidth="1"/>
    <col min="2599" max="2599" width="11" style="219" customWidth="1"/>
    <col min="2600" max="2600" width="10.7109375" style="219" bestFit="1" customWidth="1"/>
    <col min="2601" max="2601" width="17.28515625" style="219" bestFit="1" customWidth="1"/>
    <col min="2602" max="2847" width="9.140625" style="219"/>
    <col min="2848" max="2848" width="49.5703125" style="219" bestFit="1" customWidth="1"/>
    <col min="2849" max="2849" width="18" style="219" bestFit="1" customWidth="1"/>
    <col min="2850" max="2850" width="11" style="219" customWidth="1"/>
    <col min="2851" max="2851" width="14.42578125" style="219" bestFit="1" customWidth="1"/>
    <col min="2852" max="2852" width="20.28515625" style="219" customWidth="1"/>
    <col min="2853" max="2853" width="12.7109375" style="219" bestFit="1" customWidth="1"/>
    <col min="2854" max="2854" width="12.85546875" style="219" bestFit="1" customWidth="1"/>
    <col min="2855" max="2855" width="11" style="219" customWidth="1"/>
    <col min="2856" max="2856" width="10.7109375" style="219" bestFit="1" customWidth="1"/>
    <col min="2857" max="2857" width="17.28515625" style="219" bestFit="1" customWidth="1"/>
    <col min="2858" max="3103" width="9.140625" style="219"/>
    <col min="3104" max="3104" width="49.5703125" style="219" bestFit="1" customWidth="1"/>
    <col min="3105" max="3105" width="18" style="219" bestFit="1" customWidth="1"/>
    <col min="3106" max="3106" width="11" style="219" customWidth="1"/>
    <col min="3107" max="3107" width="14.42578125" style="219" bestFit="1" customWidth="1"/>
    <col min="3108" max="3108" width="20.28515625" style="219" customWidth="1"/>
    <col min="3109" max="3109" width="12.7109375" style="219" bestFit="1" customWidth="1"/>
    <col min="3110" max="3110" width="12.85546875" style="219" bestFit="1" customWidth="1"/>
    <col min="3111" max="3111" width="11" style="219" customWidth="1"/>
    <col min="3112" max="3112" width="10.7109375" style="219" bestFit="1" customWidth="1"/>
    <col min="3113" max="3113" width="17.28515625" style="219" bestFit="1" customWidth="1"/>
    <col min="3114" max="3359" width="9.140625" style="219"/>
    <col min="3360" max="3360" width="49.5703125" style="219" bestFit="1" customWidth="1"/>
    <col min="3361" max="3361" width="18" style="219" bestFit="1" customWidth="1"/>
    <col min="3362" max="3362" width="11" style="219" customWidth="1"/>
    <col min="3363" max="3363" width="14.42578125" style="219" bestFit="1" customWidth="1"/>
    <col min="3364" max="3364" width="20.28515625" style="219" customWidth="1"/>
    <col min="3365" max="3365" width="12.7109375" style="219" bestFit="1" customWidth="1"/>
    <col min="3366" max="3366" width="12.85546875" style="219" bestFit="1" customWidth="1"/>
    <col min="3367" max="3367" width="11" style="219" customWidth="1"/>
    <col min="3368" max="3368" width="10.7109375" style="219" bestFit="1" customWidth="1"/>
    <col min="3369" max="3369" width="17.28515625" style="219" bestFit="1" customWidth="1"/>
    <col min="3370" max="3615" width="9.140625" style="219"/>
    <col min="3616" max="3616" width="49.5703125" style="219" bestFit="1" customWidth="1"/>
    <col min="3617" max="3617" width="18" style="219" bestFit="1" customWidth="1"/>
    <col min="3618" max="3618" width="11" style="219" customWidth="1"/>
    <col min="3619" max="3619" width="14.42578125" style="219" bestFit="1" customWidth="1"/>
    <col min="3620" max="3620" width="20.28515625" style="219" customWidth="1"/>
    <col min="3621" max="3621" width="12.7109375" style="219" bestFit="1" customWidth="1"/>
    <col min="3622" max="3622" width="12.85546875" style="219" bestFit="1" customWidth="1"/>
    <col min="3623" max="3623" width="11" style="219" customWidth="1"/>
    <col min="3624" max="3624" width="10.7109375" style="219" bestFit="1" customWidth="1"/>
    <col min="3625" max="3625" width="17.28515625" style="219" bestFit="1" customWidth="1"/>
    <col min="3626" max="3871" width="9.140625" style="219"/>
    <col min="3872" max="3872" width="49.5703125" style="219" bestFit="1" customWidth="1"/>
    <col min="3873" max="3873" width="18" style="219" bestFit="1" customWidth="1"/>
    <col min="3874" max="3874" width="11" style="219" customWidth="1"/>
    <col min="3875" max="3875" width="14.42578125" style="219" bestFit="1" customWidth="1"/>
    <col min="3876" max="3876" width="20.28515625" style="219" customWidth="1"/>
    <col min="3877" max="3877" width="12.7109375" style="219" bestFit="1" customWidth="1"/>
    <col min="3878" max="3878" width="12.85546875" style="219" bestFit="1" customWidth="1"/>
    <col min="3879" max="3879" width="11" style="219" customWidth="1"/>
    <col min="3880" max="3880" width="10.7109375" style="219" bestFit="1" customWidth="1"/>
    <col min="3881" max="3881" width="17.28515625" style="219" bestFit="1" customWidth="1"/>
    <col min="3882" max="4127" width="9.140625" style="219"/>
    <col min="4128" max="4128" width="49.5703125" style="219" bestFit="1" customWidth="1"/>
    <col min="4129" max="4129" width="18" style="219" bestFit="1" customWidth="1"/>
    <col min="4130" max="4130" width="11" style="219" customWidth="1"/>
    <col min="4131" max="4131" width="14.42578125" style="219" bestFit="1" customWidth="1"/>
    <col min="4132" max="4132" width="20.28515625" style="219" customWidth="1"/>
    <col min="4133" max="4133" width="12.7109375" style="219" bestFit="1" customWidth="1"/>
    <col min="4134" max="4134" width="12.85546875" style="219" bestFit="1" customWidth="1"/>
    <col min="4135" max="4135" width="11" style="219" customWidth="1"/>
    <col min="4136" max="4136" width="10.7109375" style="219" bestFit="1" customWidth="1"/>
    <col min="4137" max="4137" width="17.28515625" style="219" bestFit="1" customWidth="1"/>
    <col min="4138" max="4383" width="9.140625" style="219"/>
    <col min="4384" max="4384" width="49.5703125" style="219" bestFit="1" customWidth="1"/>
    <col min="4385" max="4385" width="18" style="219" bestFit="1" customWidth="1"/>
    <col min="4386" max="4386" width="11" style="219" customWidth="1"/>
    <col min="4387" max="4387" width="14.42578125" style="219" bestFit="1" customWidth="1"/>
    <col min="4388" max="4388" width="20.28515625" style="219" customWidth="1"/>
    <col min="4389" max="4389" width="12.7109375" style="219" bestFit="1" customWidth="1"/>
    <col min="4390" max="4390" width="12.85546875" style="219" bestFit="1" customWidth="1"/>
    <col min="4391" max="4391" width="11" style="219" customWidth="1"/>
    <col min="4392" max="4392" width="10.7109375" style="219" bestFit="1" customWidth="1"/>
    <col min="4393" max="4393" width="17.28515625" style="219" bestFit="1" customWidth="1"/>
    <col min="4394" max="4639" width="9.140625" style="219"/>
    <col min="4640" max="4640" width="49.5703125" style="219" bestFit="1" customWidth="1"/>
    <col min="4641" max="4641" width="18" style="219" bestFit="1" customWidth="1"/>
    <col min="4642" max="4642" width="11" style="219" customWidth="1"/>
    <col min="4643" max="4643" width="14.42578125" style="219" bestFit="1" customWidth="1"/>
    <col min="4644" max="4644" width="20.28515625" style="219" customWidth="1"/>
    <col min="4645" max="4645" width="12.7109375" style="219" bestFit="1" customWidth="1"/>
    <col min="4646" max="4646" width="12.85546875" style="219" bestFit="1" customWidth="1"/>
    <col min="4647" max="4647" width="11" style="219" customWidth="1"/>
    <col min="4648" max="4648" width="10.7109375" style="219" bestFit="1" customWidth="1"/>
    <col min="4649" max="4649" width="17.28515625" style="219" bestFit="1" customWidth="1"/>
    <col min="4650" max="4895" width="9.140625" style="219"/>
    <col min="4896" max="4896" width="49.5703125" style="219" bestFit="1" customWidth="1"/>
    <col min="4897" max="4897" width="18" style="219" bestFit="1" customWidth="1"/>
    <col min="4898" max="4898" width="11" style="219" customWidth="1"/>
    <col min="4899" max="4899" width="14.42578125" style="219" bestFit="1" customWidth="1"/>
    <col min="4900" max="4900" width="20.28515625" style="219" customWidth="1"/>
    <col min="4901" max="4901" width="12.7109375" style="219" bestFit="1" customWidth="1"/>
    <col min="4902" max="4902" width="12.85546875" style="219" bestFit="1" customWidth="1"/>
    <col min="4903" max="4903" width="11" style="219" customWidth="1"/>
    <col min="4904" max="4904" width="10.7109375" style="219" bestFit="1" customWidth="1"/>
    <col min="4905" max="4905" width="17.28515625" style="219" bestFit="1" customWidth="1"/>
    <col min="4906" max="5151" width="9.140625" style="219"/>
    <col min="5152" max="5152" width="49.5703125" style="219" bestFit="1" customWidth="1"/>
    <col min="5153" max="5153" width="18" style="219" bestFit="1" customWidth="1"/>
    <col min="5154" max="5154" width="11" style="219" customWidth="1"/>
    <col min="5155" max="5155" width="14.42578125" style="219" bestFit="1" customWidth="1"/>
    <col min="5156" max="5156" width="20.28515625" style="219" customWidth="1"/>
    <col min="5157" max="5157" width="12.7109375" style="219" bestFit="1" customWidth="1"/>
    <col min="5158" max="5158" width="12.85546875" style="219" bestFit="1" customWidth="1"/>
    <col min="5159" max="5159" width="11" style="219" customWidth="1"/>
    <col min="5160" max="5160" width="10.7109375" style="219" bestFit="1" customWidth="1"/>
    <col min="5161" max="5161" width="17.28515625" style="219" bestFit="1" customWidth="1"/>
    <col min="5162" max="5407" width="9.140625" style="219"/>
    <col min="5408" max="5408" width="49.5703125" style="219" bestFit="1" customWidth="1"/>
    <col min="5409" max="5409" width="18" style="219" bestFit="1" customWidth="1"/>
    <col min="5410" max="5410" width="11" style="219" customWidth="1"/>
    <col min="5411" max="5411" width="14.42578125" style="219" bestFit="1" customWidth="1"/>
    <col min="5412" max="5412" width="20.28515625" style="219" customWidth="1"/>
    <col min="5413" max="5413" width="12.7109375" style="219" bestFit="1" customWidth="1"/>
    <col min="5414" max="5414" width="12.85546875" style="219" bestFit="1" customWidth="1"/>
    <col min="5415" max="5415" width="11" style="219" customWidth="1"/>
    <col min="5416" max="5416" width="10.7109375" style="219" bestFit="1" customWidth="1"/>
    <col min="5417" max="5417" width="17.28515625" style="219" bestFit="1" customWidth="1"/>
    <col min="5418" max="5663" width="9.140625" style="219"/>
    <col min="5664" max="5664" width="49.5703125" style="219" bestFit="1" customWidth="1"/>
    <col min="5665" max="5665" width="18" style="219" bestFit="1" customWidth="1"/>
    <col min="5666" max="5666" width="11" style="219" customWidth="1"/>
    <col min="5667" max="5667" width="14.42578125" style="219" bestFit="1" customWidth="1"/>
    <col min="5668" max="5668" width="20.28515625" style="219" customWidth="1"/>
    <col min="5669" max="5669" width="12.7109375" style="219" bestFit="1" customWidth="1"/>
    <col min="5670" max="5670" width="12.85546875" style="219" bestFit="1" customWidth="1"/>
    <col min="5671" max="5671" width="11" style="219" customWidth="1"/>
    <col min="5672" max="5672" width="10.7109375" style="219" bestFit="1" customWidth="1"/>
    <col min="5673" max="5673" width="17.28515625" style="219" bestFit="1" customWidth="1"/>
    <col min="5674" max="5919" width="9.140625" style="219"/>
    <col min="5920" max="5920" width="49.5703125" style="219" bestFit="1" customWidth="1"/>
    <col min="5921" max="5921" width="18" style="219" bestFit="1" customWidth="1"/>
    <col min="5922" max="5922" width="11" style="219" customWidth="1"/>
    <col min="5923" max="5923" width="14.42578125" style="219" bestFit="1" customWidth="1"/>
    <col min="5924" max="5924" width="20.28515625" style="219" customWidth="1"/>
    <col min="5925" max="5925" width="12.7109375" style="219" bestFit="1" customWidth="1"/>
    <col min="5926" max="5926" width="12.85546875" style="219" bestFit="1" customWidth="1"/>
    <col min="5927" max="5927" width="11" style="219" customWidth="1"/>
    <col min="5928" max="5928" width="10.7109375" style="219" bestFit="1" customWidth="1"/>
    <col min="5929" max="5929" width="17.28515625" style="219" bestFit="1" customWidth="1"/>
    <col min="5930" max="6175" width="9.140625" style="219"/>
    <col min="6176" max="6176" width="49.5703125" style="219" bestFit="1" customWidth="1"/>
    <col min="6177" max="6177" width="18" style="219" bestFit="1" customWidth="1"/>
    <col min="6178" max="6178" width="11" style="219" customWidth="1"/>
    <col min="6179" max="6179" width="14.42578125" style="219" bestFit="1" customWidth="1"/>
    <col min="6180" max="6180" width="20.28515625" style="219" customWidth="1"/>
    <col min="6181" max="6181" width="12.7109375" style="219" bestFit="1" customWidth="1"/>
    <col min="6182" max="6182" width="12.85546875" style="219" bestFit="1" customWidth="1"/>
    <col min="6183" max="6183" width="11" style="219" customWidth="1"/>
    <col min="6184" max="6184" width="10.7109375" style="219" bestFit="1" customWidth="1"/>
    <col min="6185" max="6185" width="17.28515625" style="219" bestFit="1" customWidth="1"/>
    <col min="6186" max="6431" width="9.140625" style="219"/>
    <col min="6432" max="6432" width="49.5703125" style="219" bestFit="1" customWidth="1"/>
    <col min="6433" max="6433" width="18" style="219" bestFit="1" customWidth="1"/>
    <col min="6434" max="6434" width="11" style="219" customWidth="1"/>
    <col min="6435" max="6435" width="14.42578125" style="219" bestFit="1" customWidth="1"/>
    <col min="6436" max="6436" width="20.28515625" style="219" customWidth="1"/>
    <col min="6437" max="6437" width="12.7109375" style="219" bestFit="1" customWidth="1"/>
    <col min="6438" max="6438" width="12.85546875" style="219" bestFit="1" customWidth="1"/>
    <col min="6439" max="6439" width="11" style="219" customWidth="1"/>
    <col min="6440" max="6440" width="10.7109375" style="219" bestFit="1" customWidth="1"/>
    <col min="6441" max="6441" width="17.28515625" style="219" bestFit="1" customWidth="1"/>
    <col min="6442" max="6687" width="9.140625" style="219"/>
    <col min="6688" max="6688" width="49.5703125" style="219" bestFit="1" customWidth="1"/>
    <col min="6689" max="6689" width="18" style="219" bestFit="1" customWidth="1"/>
    <col min="6690" max="6690" width="11" style="219" customWidth="1"/>
    <col min="6691" max="6691" width="14.42578125" style="219" bestFit="1" customWidth="1"/>
    <col min="6692" max="6692" width="20.28515625" style="219" customWidth="1"/>
    <col min="6693" max="6693" width="12.7109375" style="219" bestFit="1" customWidth="1"/>
    <col min="6694" max="6694" width="12.85546875" style="219" bestFit="1" customWidth="1"/>
    <col min="6695" max="6695" width="11" style="219" customWidth="1"/>
    <col min="6696" max="6696" width="10.7109375" style="219" bestFit="1" customWidth="1"/>
    <col min="6697" max="6697" width="17.28515625" style="219" bestFit="1" customWidth="1"/>
    <col min="6698" max="6943" width="9.140625" style="219"/>
    <col min="6944" max="6944" width="49.5703125" style="219" bestFit="1" customWidth="1"/>
    <col min="6945" max="6945" width="18" style="219" bestFit="1" customWidth="1"/>
    <col min="6946" max="6946" width="11" style="219" customWidth="1"/>
    <col min="6947" max="6947" width="14.42578125" style="219" bestFit="1" customWidth="1"/>
    <col min="6948" max="6948" width="20.28515625" style="219" customWidth="1"/>
    <col min="6949" max="6949" width="12.7109375" style="219" bestFit="1" customWidth="1"/>
    <col min="6950" max="6950" width="12.85546875" style="219" bestFit="1" customWidth="1"/>
    <col min="6951" max="6951" width="11" style="219" customWidth="1"/>
    <col min="6952" max="6952" width="10.7109375" style="219" bestFit="1" customWidth="1"/>
    <col min="6953" max="6953" width="17.28515625" style="219" bestFit="1" customWidth="1"/>
    <col min="6954" max="7199" width="9.140625" style="219"/>
    <col min="7200" max="7200" width="49.5703125" style="219" bestFit="1" customWidth="1"/>
    <col min="7201" max="7201" width="18" style="219" bestFit="1" customWidth="1"/>
    <col min="7202" max="7202" width="11" style="219" customWidth="1"/>
    <col min="7203" max="7203" width="14.42578125" style="219" bestFit="1" customWidth="1"/>
    <col min="7204" max="7204" width="20.28515625" style="219" customWidth="1"/>
    <col min="7205" max="7205" width="12.7109375" style="219" bestFit="1" customWidth="1"/>
    <col min="7206" max="7206" width="12.85546875" style="219" bestFit="1" customWidth="1"/>
    <col min="7207" max="7207" width="11" style="219" customWidth="1"/>
    <col min="7208" max="7208" width="10.7109375" style="219" bestFit="1" customWidth="1"/>
    <col min="7209" max="7209" width="17.28515625" style="219" bestFit="1" customWidth="1"/>
    <col min="7210" max="7455" width="9.140625" style="219"/>
    <col min="7456" max="7456" width="49.5703125" style="219" bestFit="1" customWidth="1"/>
    <col min="7457" max="7457" width="18" style="219" bestFit="1" customWidth="1"/>
    <col min="7458" max="7458" width="11" style="219" customWidth="1"/>
    <col min="7459" max="7459" width="14.42578125" style="219" bestFit="1" customWidth="1"/>
    <col min="7460" max="7460" width="20.28515625" style="219" customWidth="1"/>
    <col min="7461" max="7461" width="12.7109375" style="219" bestFit="1" customWidth="1"/>
    <col min="7462" max="7462" width="12.85546875" style="219" bestFit="1" customWidth="1"/>
    <col min="7463" max="7463" width="11" style="219" customWidth="1"/>
    <col min="7464" max="7464" width="10.7109375" style="219" bestFit="1" customWidth="1"/>
    <col min="7465" max="7465" width="17.28515625" style="219" bestFit="1" customWidth="1"/>
    <col min="7466" max="7711" width="9.140625" style="219"/>
    <col min="7712" max="7712" width="49.5703125" style="219" bestFit="1" customWidth="1"/>
    <col min="7713" max="7713" width="18" style="219" bestFit="1" customWidth="1"/>
    <col min="7714" max="7714" width="11" style="219" customWidth="1"/>
    <col min="7715" max="7715" width="14.42578125" style="219" bestFit="1" customWidth="1"/>
    <col min="7716" max="7716" width="20.28515625" style="219" customWidth="1"/>
    <col min="7717" max="7717" width="12.7109375" style="219" bestFit="1" customWidth="1"/>
    <col min="7718" max="7718" width="12.85546875" style="219" bestFit="1" customWidth="1"/>
    <col min="7719" max="7719" width="11" style="219" customWidth="1"/>
    <col min="7720" max="7720" width="10.7109375" style="219" bestFit="1" customWidth="1"/>
    <col min="7721" max="7721" width="17.28515625" style="219" bestFit="1" customWidth="1"/>
    <col min="7722" max="7967" width="9.140625" style="219"/>
    <col min="7968" max="7968" width="49.5703125" style="219" bestFit="1" customWidth="1"/>
    <col min="7969" max="7969" width="18" style="219" bestFit="1" customWidth="1"/>
    <col min="7970" max="7970" width="11" style="219" customWidth="1"/>
    <col min="7971" max="7971" width="14.42578125" style="219" bestFit="1" customWidth="1"/>
    <col min="7972" max="7972" width="20.28515625" style="219" customWidth="1"/>
    <col min="7973" max="7973" width="12.7109375" style="219" bestFit="1" customWidth="1"/>
    <col min="7974" max="7974" width="12.85546875" style="219" bestFit="1" customWidth="1"/>
    <col min="7975" max="7975" width="11" style="219" customWidth="1"/>
    <col min="7976" max="7976" width="10.7109375" style="219" bestFit="1" customWidth="1"/>
    <col min="7977" max="7977" width="17.28515625" style="219" bestFit="1" customWidth="1"/>
    <col min="7978" max="8223" width="9.140625" style="219"/>
    <col min="8224" max="8224" width="49.5703125" style="219" bestFit="1" customWidth="1"/>
    <col min="8225" max="8225" width="18" style="219" bestFit="1" customWidth="1"/>
    <col min="8226" max="8226" width="11" style="219" customWidth="1"/>
    <col min="8227" max="8227" width="14.42578125" style="219" bestFit="1" customWidth="1"/>
    <col min="8228" max="8228" width="20.28515625" style="219" customWidth="1"/>
    <col min="8229" max="8229" width="12.7109375" style="219" bestFit="1" customWidth="1"/>
    <col min="8230" max="8230" width="12.85546875" style="219" bestFit="1" customWidth="1"/>
    <col min="8231" max="8231" width="11" style="219" customWidth="1"/>
    <col min="8232" max="8232" width="10.7109375" style="219" bestFit="1" customWidth="1"/>
    <col min="8233" max="8233" width="17.28515625" style="219" bestFit="1" customWidth="1"/>
    <col min="8234" max="8479" width="9.140625" style="219"/>
    <col min="8480" max="8480" width="49.5703125" style="219" bestFit="1" customWidth="1"/>
    <col min="8481" max="8481" width="18" style="219" bestFit="1" customWidth="1"/>
    <col min="8482" max="8482" width="11" style="219" customWidth="1"/>
    <col min="8483" max="8483" width="14.42578125" style="219" bestFit="1" customWidth="1"/>
    <col min="8484" max="8484" width="20.28515625" style="219" customWidth="1"/>
    <col min="8485" max="8485" width="12.7109375" style="219" bestFit="1" customWidth="1"/>
    <col min="8486" max="8486" width="12.85546875" style="219" bestFit="1" customWidth="1"/>
    <col min="8487" max="8487" width="11" style="219" customWidth="1"/>
    <col min="8488" max="8488" width="10.7109375" style="219" bestFit="1" customWidth="1"/>
    <col min="8489" max="8489" width="17.28515625" style="219" bestFit="1" customWidth="1"/>
    <col min="8490" max="8735" width="9.140625" style="219"/>
    <col min="8736" max="8736" width="49.5703125" style="219" bestFit="1" customWidth="1"/>
    <col min="8737" max="8737" width="18" style="219" bestFit="1" customWidth="1"/>
    <col min="8738" max="8738" width="11" style="219" customWidth="1"/>
    <col min="8739" max="8739" width="14.42578125" style="219" bestFit="1" customWidth="1"/>
    <col min="8740" max="8740" width="20.28515625" style="219" customWidth="1"/>
    <col min="8741" max="8741" width="12.7109375" style="219" bestFit="1" customWidth="1"/>
    <col min="8742" max="8742" width="12.85546875" style="219" bestFit="1" customWidth="1"/>
    <col min="8743" max="8743" width="11" style="219" customWidth="1"/>
    <col min="8744" max="8744" width="10.7109375" style="219" bestFit="1" customWidth="1"/>
    <col min="8745" max="8745" width="17.28515625" style="219" bestFit="1" customWidth="1"/>
    <col min="8746" max="8991" width="9.140625" style="219"/>
    <col min="8992" max="8992" width="49.5703125" style="219" bestFit="1" customWidth="1"/>
    <col min="8993" max="8993" width="18" style="219" bestFit="1" customWidth="1"/>
    <col min="8994" max="8994" width="11" style="219" customWidth="1"/>
    <col min="8995" max="8995" width="14.42578125" style="219" bestFit="1" customWidth="1"/>
    <col min="8996" max="8996" width="20.28515625" style="219" customWidth="1"/>
    <col min="8997" max="8997" width="12.7109375" style="219" bestFit="1" customWidth="1"/>
    <col min="8998" max="8998" width="12.85546875" style="219" bestFit="1" customWidth="1"/>
    <col min="8999" max="8999" width="11" style="219" customWidth="1"/>
    <col min="9000" max="9000" width="10.7109375" style="219" bestFit="1" customWidth="1"/>
    <col min="9001" max="9001" width="17.28515625" style="219" bestFit="1" customWidth="1"/>
    <col min="9002" max="9247" width="9.140625" style="219"/>
    <col min="9248" max="9248" width="49.5703125" style="219" bestFit="1" customWidth="1"/>
    <col min="9249" max="9249" width="18" style="219" bestFit="1" customWidth="1"/>
    <col min="9250" max="9250" width="11" style="219" customWidth="1"/>
    <col min="9251" max="9251" width="14.42578125" style="219" bestFit="1" customWidth="1"/>
    <col min="9252" max="9252" width="20.28515625" style="219" customWidth="1"/>
    <col min="9253" max="9253" width="12.7109375" style="219" bestFit="1" customWidth="1"/>
    <col min="9254" max="9254" width="12.85546875" style="219" bestFit="1" customWidth="1"/>
    <col min="9255" max="9255" width="11" style="219" customWidth="1"/>
    <col min="9256" max="9256" width="10.7109375" style="219" bestFit="1" customWidth="1"/>
    <col min="9257" max="9257" width="17.28515625" style="219" bestFit="1" customWidth="1"/>
    <col min="9258" max="9503" width="9.140625" style="219"/>
    <col min="9504" max="9504" width="49.5703125" style="219" bestFit="1" customWidth="1"/>
    <col min="9505" max="9505" width="18" style="219" bestFit="1" customWidth="1"/>
    <col min="9506" max="9506" width="11" style="219" customWidth="1"/>
    <col min="9507" max="9507" width="14.42578125" style="219" bestFit="1" customWidth="1"/>
    <col min="9508" max="9508" width="20.28515625" style="219" customWidth="1"/>
    <col min="9509" max="9509" width="12.7109375" style="219" bestFit="1" customWidth="1"/>
    <col min="9510" max="9510" width="12.85546875" style="219" bestFit="1" customWidth="1"/>
    <col min="9511" max="9511" width="11" style="219" customWidth="1"/>
    <col min="9512" max="9512" width="10.7109375" style="219" bestFit="1" customWidth="1"/>
    <col min="9513" max="9513" width="17.28515625" style="219" bestFit="1" customWidth="1"/>
    <col min="9514" max="9759" width="9.140625" style="219"/>
    <col min="9760" max="9760" width="49.5703125" style="219" bestFit="1" customWidth="1"/>
    <col min="9761" max="9761" width="18" style="219" bestFit="1" customWidth="1"/>
    <col min="9762" max="9762" width="11" style="219" customWidth="1"/>
    <col min="9763" max="9763" width="14.42578125" style="219" bestFit="1" customWidth="1"/>
    <col min="9764" max="9764" width="20.28515625" style="219" customWidth="1"/>
    <col min="9765" max="9765" width="12.7109375" style="219" bestFit="1" customWidth="1"/>
    <col min="9766" max="9766" width="12.85546875" style="219" bestFit="1" customWidth="1"/>
    <col min="9767" max="9767" width="11" style="219" customWidth="1"/>
    <col min="9768" max="9768" width="10.7109375" style="219" bestFit="1" customWidth="1"/>
    <col min="9769" max="9769" width="17.28515625" style="219" bestFit="1" customWidth="1"/>
    <col min="9770" max="10015" width="9.140625" style="219"/>
    <col min="10016" max="10016" width="49.5703125" style="219" bestFit="1" customWidth="1"/>
    <col min="10017" max="10017" width="18" style="219" bestFit="1" customWidth="1"/>
    <col min="10018" max="10018" width="11" style="219" customWidth="1"/>
    <col min="10019" max="10019" width="14.42578125" style="219" bestFit="1" customWidth="1"/>
    <col min="10020" max="10020" width="20.28515625" style="219" customWidth="1"/>
    <col min="10021" max="10021" width="12.7109375" style="219" bestFit="1" customWidth="1"/>
    <col min="10022" max="10022" width="12.85546875" style="219" bestFit="1" customWidth="1"/>
    <col min="10023" max="10023" width="11" style="219" customWidth="1"/>
    <col min="10024" max="10024" width="10.7109375" style="219" bestFit="1" customWidth="1"/>
    <col min="10025" max="10025" width="17.28515625" style="219" bestFit="1" customWidth="1"/>
    <col min="10026" max="10271" width="9.140625" style="219"/>
    <col min="10272" max="10272" width="49.5703125" style="219" bestFit="1" customWidth="1"/>
    <col min="10273" max="10273" width="18" style="219" bestFit="1" customWidth="1"/>
    <col min="10274" max="10274" width="11" style="219" customWidth="1"/>
    <col min="10275" max="10275" width="14.42578125" style="219" bestFit="1" customWidth="1"/>
    <col min="10276" max="10276" width="20.28515625" style="219" customWidth="1"/>
    <col min="10277" max="10277" width="12.7109375" style="219" bestFit="1" customWidth="1"/>
    <col min="10278" max="10278" width="12.85546875" style="219" bestFit="1" customWidth="1"/>
    <col min="10279" max="10279" width="11" style="219" customWidth="1"/>
    <col min="10280" max="10280" width="10.7109375" style="219" bestFit="1" customWidth="1"/>
    <col min="10281" max="10281" width="17.28515625" style="219" bestFit="1" customWidth="1"/>
    <col min="10282" max="10527" width="9.140625" style="219"/>
    <col min="10528" max="10528" width="49.5703125" style="219" bestFit="1" customWidth="1"/>
    <col min="10529" max="10529" width="18" style="219" bestFit="1" customWidth="1"/>
    <col min="10530" max="10530" width="11" style="219" customWidth="1"/>
    <col min="10531" max="10531" width="14.42578125" style="219" bestFit="1" customWidth="1"/>
    <col min="10532" max="10532" width="20.28515625" style="219" customWidth="1"/>
    <col min="10533" max="10533" width="12.7109375" style="219" bestFit="1" customWidth="1"/>
    <col min="10534" max="10534" width="12.85546875" style="219" bestFit="1" customWidth="1"/>
    <col min="10535" max="10535" width="11" style="219" customWidth="1"/>
    <col min="10536" max="10536" width="10.7109375" style="219" bestFit="1" customWidth="1"/>
    <col min="10537" max="10537" width="17.28515625" style="219" bestFit="1" customWidth="1"/>
    <col min="10538" max="10783" width="9.140625" style="219"/>
    <col min="10784" max="10784" width="49.5703125" style="219" bestFit="1" customWidth="1"/>
    <col min="10785" max="10785" width="18" style="219" bestFit="1" customWidth="1"/>
    <col min="10786" max="10786" width="11" style="219" customWidth="1"/>
    <col min="10787" max="10787" width="14.42578125" style="219" bestFit="1" customWidth="1"/>
    <col min="10788" max="10788" width="20.28515625" style="219" customWidth="1"/>
    <col min="10789" max="10789" width="12.7109375" style="219" bestFit="1" customWidth="1"/>
    <col min="10790" max="10790" width="12.85546875" style="219" bestFit="1" customWidth="1"/>
    <col min="10791" max="10791" width="11" style="219" customWidth="1"/>
    <col min="10792" max="10792" width="10.7109375" style="219" bestFit="1" customWidth="1"/>
    <col min="10793" max="10793" width="17.28515625" style="219" bestFit="1" customWidth="1"/>
    <col min="10794" max="11039" width="9.140625" style="219"/>
    <col min="11040" max="11040" width="49.5703125" style="219" bestFit="1" customWidth="1"/>
    <col min="11041" max="11041" width="18" style="219" bestFit="1" customWidth="1"/>
    <col min="11042" max="11042" width="11" style="219" customWidth="1"/>
    <col min="11043" max="11043" width="14.42578125" style="219" bestFit="1" customWidth="1"/>
    <col min="11044" max="11044" width="20.28515625" style="219" customWidth="1"/>
    <col min="11045" max="11045" width="12.7109375" style="219" bestFit="1" customWidth="1"/>
    <col min="11046" max="11046" width="12.85546875" style="219" bestFit="1" customWidth="1"/>
    <col min="11047" max="11047" width="11" style="219" customWidth="1"/>
    <col min="11048" max="11048" width="10.7109375" style="219" bestFit="1" customWidth="1"/>
    <col min="11049" max="11049" width="17.28515625" style="219" bestFit="1" customWidth="1"/>
    <col min="11050" max="11295" width="9.140625" style="219"/>
    <col min="11296" max="11296" width="49.5703125" style="219" bestFit="1" customWidth="1"/>
    <col min="11297" max="11297" width="18" style="219" bestFit="1" customWidth="1"/>
    <col min="11298" max="11298" width="11" style="219" customWidth="1"/>
    <col min="11299" max="11299" width="14.42578125" style="219" bestFit="1" customWidth="1"/>
    <col min="11300" max="11300" width="20.28515625" style="219" customWidth="1"/>
    <col min="11301" max="11301" width="12.7109375" style="219" bestFit="1" customWidth="1"/>
    <col min="11302" max="11302" width="12.85546875" style="219" bestFit="1" customWidth="1"/>
    <col min="11303" max="11303" width="11" style="219" customWidth="1"/>
    <col min="11304" max="11304" width="10.7109375" style="219" bestFit="1" customWidth="1"/>
    <col min="11305" max="11305" width="17.28515625" style="219" bestFit="1" customWidth="1"/>
    <col min="11306" max="11551" width="9.140625" style="219"/>
    <col min="11552" max="11552" width="49.5703125" style="219" bestFit="1" customWidth="1"/>
    <col min="11553" max="11553" width="18" style="219" bestFit="1" customWidth="1"/>
    <col min="11554" max="11554" width="11" style="219" customWidth="1"/>
    <col min="11555" max="11555" width="14.42578125" style="219" bestFit="1" customWidth="1"/>
    <col min="11556" max="11556" width="20.28515625" style="219" customWidth="1"/>
    <col min="11557" max="11557" width="12.7109375" style="219" bestFit="1" customWidth="1"/>
    <col min="11558" max="11558" width="12.85546875" style="219" bestFit="1" customWidth="1"/>
    <col min="11559" max="11559" width="11" style="219" customWidth="1"/>
    <col min="11560" max="11560" width="10.7109375" style="219" bestFit="1" customWidth="1"/>
    <col min="11561" max="11561" width="17.28515625" style="219" bestFit="1" customWidth="1"/>
    <col min="11562" max="11807" width="9.140625" style="219"/>
    <col min="11808" max="11808" width="49.5703125" style="219" bestFit="1" customWidth="1"/>
    <col min="11809" max="11809" width="18" style="219" bestFit="1" customWidth="1"/>
    <col min="11810" max="11810" width="11" style="219" customWidth="1"/>
    <col min="11811" max="11811" width="14.42578125" style="219" bestFit="1" customWidth="1"/>
    <col min="11812" max="11812" width="20.28515625" style="219" customWidth="1"/>
    <col min="11813" max="11813" width="12.7109375" style="219" bestFit="1" customWidth="1"/>
    <col min="11814" max="11814" width="12.85546875" style="219" bestFit="1" customWidth="1"/>
    <col min="11815" max="11815" width="11" style="219" customWidth="1"/>
    <col min="11816" max="11816" width="10.7109375" style="219" bestFit="1" customWidth="1"/>
    <col min="11817" max="11817" width="17.28515625" style="219" bestFit="1" customWidth="1"/>
    <col min="11818" max="12063" width="9.140625" style="219"/>
    <col min="12064" max="12064" width="49.5703125" style="219" bestFit="1" customWidth="1"/>
    <col min="12065" max="12065" width="18" style="219" bestFit="1" customWidth="1"/>
    <col min="12066" max="12066" width="11" style="219" customWidth="1"/>
    <col min="12067" max="12067" width="14.42578125" style="219" bestFit="1" customWidth="1"/>
    <col min="12068" max="12068" width="20.28515625" style="219" customWidth="1"/>
    <col min="12069" max="12069" width="12.7109375" style="219" bestFit="1" customWidth="1"/>
    <col min="12070" max="12070" width="12.85546875" style="219" bestFit="1" customWidth="1"/>
    <col min="12071" max="12071" width="11" style="219" customWidth="1"/>
    <col min="12072" max="12072" width="10.7109375" style="219" bestFit="1" customWidth="1"/>
    <col min="12073" max="12073" width="17.28515625" style="219" bestFit="1" customWidth="1"/>
    <col min="12074" max="12319" width="9.140625" style="219"/>
    <col min="12320" max="12320" width="49.5703125" style="219" bestFit="1" customWidth="1"/>
    <col min="12321" max="12321" width="18" style="219" bestFit="1" customWidth="1"/>
    <col min="12322" max="12322" width="11" style="219" customWidth="1"/>
    <col min="12323" max="12323" width="14.42578125" style="219" bestFit="1" customWidth="1"/>
    <col min="12324" max="12324" width="20.28515625" style="219" customWidth="1"/>
    <col min="12325" max="12325" width="12.7109375" style="219" bestFit="1" customWidth="1"/>
    <col min="12326" max="12326" width="12.85546875" style="219" bestFit="1" customWidth="1"/>
    <col min="12327" max="12327" width="11" style="219" customWidth="1"/>
    <col min="12328" max="12328" width="10.7109375" style="219" bestFit="1" customWidth="1"/>
    <col min="12329" max="12329" width="17.28515625" style="219" bestFit="1" customWidth="1"/>
    <col min="12330" max="12575" width="9.140625" style="219"/>
    <col min="12576" max="12576" width="49.5703125" style="219" bestFit="1" customWidth="1"/>
    <col min="12577" max="12577" width="18" style="219" bestFit="1" customWidth="1"/>
    <col min="12578" max="12578" width="11" style="219" customWidth="1"/>
    <col min="12579" max="12579" width="14.42578125" style="219" bestFit="1" customWidth="1"/>
    <col min="12580" max="12580" width="20.28515625" style="219" customWidth="1"/>
    <col min="12581" max="12581" width="12.7109375" style="219" bestFit="1" customWidth="1"/>
    <col min="12582" max="12582" width="12.85546875" style="219" bestFit="1" customWidth="1"/>
    <col min="12583" max="12583" width="11" style="219" customWidth="1"/>
    <col min="12584" max="12584" width="10.7109375" style="219" bestFit="1" customWidth="1"/>
    <col min="12585" max="12585" width="17.28515625" style="219" bestFit="1" customWidth="1"/>
    <col min="12586" max="12831" width="9.140625" style="219"/>
    <col min="12832" max="12832" width="49.5703125" style="219" bestFit="1" customWidth="1"/>
    <col min="12833" max="12833" width="18" style="219" bestFit="1" customWidth="1"/>
    <col min="12834" max="12834" width="11" style="219" customWidth="1"/>
    <col min="12835" max="12835" width="14.42578125" style="219" bestFit="1" customWidth="1"/>
    <col min="12836" max="12836" width="20.28515625" style="219" customWidth="1"/>
    <col min="12837" max="12837" width="12.7109375" style="219" bestFit="1" customWidth="1"/>
    <col min="12838" max="12838" width="12.85546875" style="219" bestFit="1" customWidth="1"/>
    <col min="12839" max="12839" width="11" style="219" customWidth="1"/>
    <col min="12840" max="12840" width="10.7109375" style="219" bestFit="1" customWidth="1"/>
    <col min="12841" max="12841" width="17.28515625" style="219" bestFit="1" customWidth="1"/>
    <col min="12842" max="13087" width="9.140625" style="219"/>
    <col min="13088" max="13088" width="49.5703125" style="219" bestFit="1" customWidth="1"/>
    <col min="13089" max="13089" width="18" style="219" bestFit="1" customWidth="1"/>
    <col min="13090" max="13090" width="11" style="219" customWidth="1"/>
    <col min="13091" max="13091" width="14.42578125" style="219" bestFit="1" customWidth="1"/>
    <col min="13092" max="13092" width="20.28515625" style="219" customWidth="1"/>
    <col min="13093" max="13093" width="12.7109375" style="219" bestFit="1" customWidth="1"/>
    <col min="13094" max="13094" width="12.85546875" style="219" bestFit="1" customWidth="1"/>
    <col min="13095" max="13095" width="11" style="219" customWidth="1"/>
    <col min="13096" max="13096" width="10.7109375" style="219" bestFit="1" customWidth="1"/>
    <col min="13097" max="13097" width="17.28515625" style="219" bestFit="1" customWidth="1"/>
    <col min="13098" max="13343" width="9.140625" style="219"/>
    <col min="13344" max="13344" width="49.5703125" style="219" bestFit="1" customWidth="1"/>
    <col min="13345" max="13345" width="18" style="219" bestFit="1" customWidth="1"/>
    <col min="13346" max="13346" width="11" style="219" customWidth="1"/>
    <col min="13347" max="13347" width="14.42578125" style="219" bestFit="1" customWidth="1"/>
    <col min="13348" max="13348" width="20.28515625" style="219" customWidth="1"/>
    <col min="13349" max="13349" width="12.7109375" style="219" bestFit="1" customWidth="1"/>
    <col min="13350" max="13350" width="12.85546875" style="219" bestFit="1" customWidth="1"/>
    <col min="13351" max="13351" width="11" style="219" customWidth="1"/>
    <col min="13352" max="13352" width="10.7109375" style="219" bestFit="1" customWidth="1"/>
    <col min="13353" max="13353" width="17.28515625" style="219" bestFit="1" customWidth="1"/>
    <col min="13354" max="13599" width="9.140625" style="219"/>
    <col min="13600" max="13600" width="49.5703125" style="219" bestFit="1" customWidth="1"/>
    <col min="13601" max="13601" width="18" style="219" bestFit="1" customWidth="1"/>
    <col min="13602" max="13602" width="11" style="219" customWidth="1"/>
    <col min="13603" max="13603" width="14.42578125" style="219" bestFit="1" customWidth="1"/>
    <col min="13604" max="13604" width="20.28515625" style="219" customWidth="1"/>
    <col min="13605" max="13605" width="12.7109375" style="219" bestFit="1" customWidth="1"/>
    <col min="13606" max="13606" width="12.85546875" style="219" bestFit="1" customWidth="1"/>
    <col min="13607" max="13607" width="11" style="219" customWidth="1"/>
    <col min="13608" max="13608" width="10.7109375" style="219" bestFit="1" customWidth="1"/>
    <col min="13609" max="13609" width="17.28515625" style="219" bestFit="1" customWidth="1"/>
    <col min="13610" max="13855" width="9.140625" style="219"/>
    <col min="13856" max="13856" width="49.5703125" style="219" bestFit="1" customWidth="1"/>
    <col min="13857" max="13857" width="18" style="219" bestFit="1" customWidth="1"/>
    <col min="13858" max="13858" width="11" style="219" customWidth="1"/>
    <col min="13859" max="13859" width="14.42578125" style="219" bestFit="1" customWidth="1"/>
    <col min="13860" max="13860" width="20.28515625" style="219" customWidth="1"/>
    <col min="13861" max="13861" width="12.7109375" style="219" bestFit="1" customWidth="1"/>
    <col min="13862" max="13862" width="12.85546875" style="219" bestFit="1" customWidth="1"/>
    <col min="13863" max="13863" width="11" style="219" customWidth="1"/>
    <col min="13864" max="13864" width="10.7109375" style="219" bestFit="1" customWidth="1"/>
    <col min="13865" max="13865" width="17.28515625" style="219" bestFit="1" customWidth="1"/>
    <col min="13866" max="14111" width="9.140625" style="219"/>
    <col min="14112" max="14112" width="49.5703125" style="219" bestFit="1" customWidth="1"/>
    <col min="14113" max="14113" width="18" style="219" bestFit="1" customWidth="1"/>
    <col min="14114" max="14114" width="11" style="219" customWidth="1"/>
    <col min="14115" max="14115" width="14.42578125" style="219" bestFit="1" customWidth="1"/>
    <col min="14116" max="14116" width="20.28515625" style="219" customWidth="1"/>
    <col min="14117" max="14117" width="12.7109375" style="219" bestFit="1" customWidth="1"/>
    <col min="14118" max="14118" width="12.85546875" style="219" bestFit="1" customWidth="1"/>
    <col min="14119" max="14119" width="11" style="219" customWidth="1"/>
    <col min="14120" max="14120" width="10.7109375" style="219" bestFit="1" customWidth="1"/>
    <col min="14121" max="14121" width="17.28515625" style="219" bestFit="1" customWidth="1"/>
    <col min="14122" max="14367" width="9.140625" style="219"/>
    <col min="14368" max="14368" width="49.5703125" style="219" bestFit="1" customWidth="1"/>
    <col min="14369" max="14369" width="18" style="219" bestFit="1" customWidth="1"/>
    <col min="14370" max="14370" width="11" style="219" customWidth="1"/>
    <col min="14371" max="14371" width="14.42578125" style="219" bestFit="1" customWidth="1"/>
    <col min="14372" max="14372" width="20.28515625" style="219" customWidth="1"/>
    <col min="14373" max="14373" width="12.7109375" style="219" bestFit="1" customWidth="1"/>
    <col min="14374" max="14374" width="12.85546875" style="219" bestFit="1" customWidth="1"/>
    <col min="14375" max="14375" width="11" style="219" customWidth="1"/>
    <col min="14376" max="14376" width="10.7109375" style="219" bestFit="1" customWidth="1"/>
    <col min="14377" max="14377" width="17.28515625" style="219" bestFit="1" customWidth="1"/>
    <col min="14378" max="14623" width="9.140625" style="219"/>
    <col min="14624" max="14624" width="49.5703125" style="219" bestFit="1" customWidth="1"/>
    <col min="14625" max="14625" width="18" style="219" bestFit="1" customWidth="1"/>
    <col min="14626" max="14626" width="11" style="219" customWidth="1"/>
    <col min="14627" max="14627" width="14.42578125" style="219" bestFit="1" customWidth="1"/>
    <col min="14628" max="14628" width="20.28515625" style="219" customWidth="1"/>
    <col min="14629" max="14629" width="12.7109375" style="219" bestFit="1" customWidth="1"/>
    <col min="14630" max="14630" width="12.85546875" style="219" bestFit="1" customWidth="1"/>
    <col min="14631" max="14631" width="11" style="219" customWidth="1"/>
    <col min="14632" max="14632" width="10.7109375" style="219" bestFit="1" customWidth="1"/>
    <col min="14633" max="14633" width="17.28515625" style="219" bestFit="1" customWidth="1"/>
    <col min="14634" max="14879" width="9.140625" style="219"/>
    <col min="14880" max="14880" width="49.5703125" style="219" bestFit="1" customWidth="1"/>
    <col min="14881" max="14881" width="18" style="219" bestFit="1" customWidth="1"/>
    <col min="14882" max="14882" width="11" style="219" customWidth="1"/>
    <col min="14883" max="14883" width="14.42578125" style="219" bestFit="1" customWidth="1"/>
    <col min="14884" max="14884" width="20.28515625" style="219" customWidth="1"/>
    <col min="14885" max="14885" width="12.7109375" style="219" bestFit="1" customWidth="1"/>
    <col min="14886" max="14886" width="12.85546875" style="219" bestFit="1" customWidth="1"/>
    <col min="14887" max="14887" width="11" style="219" customWidth="1"/>
    <col min="14888" max="14888" width="10.7109375" style="219" bestFit="1" customWidth="1"/>
    <col min="14889" max="14889" width="17.28515625" style="219" bestFit="1" customWidth="1"/>
    <col min="14890" max="15135" width="9.140625" style="219"/>
    <col min="15136" max="15136" width="49.5703125" style="219" bestFit="1" customWidth="1"/>
    <col min="15137" max="15137" width="18" style="219" bestFit="1" customWidth="1"/>
    <col min="15138" max="15138" width="11" style="219" customWidth="1"/>
    <col min="15139" max="15139" width="14.42578125" style="219" bestFit="1" customWidth="1"/>
    <col min="15140" max="15140" width="20.28515625" style="219" customWidth="1"/>
    <col min="15141" max="15141" width="12.7109375" style="219" bestFit="1" customWidth="1"/>
    <col min="15142" max="15142" width="12.85546875" style="219" bestFit="1" customWidth="1"/>
    <col min="15143" max="15143" width="11" style="219" customWidth="1"/>
    <col min="15144" max="15144" width="10.7109375" style="219" bestFit="1" customWidth="1"/>
    <col min="15145" max="15145" width="17.28515625" style="219" bestFit="1" customWidth="1"/>
    <col min="15146" max="15391" width="9.140625" style="219"/>
    <col min="15392" max="15392" width="49.5703125" style="219" bestFit="1" customWidth="1"/>
    <col min="15393" max="15393" width="18" style="219" bestFit="1" customWidth="1"/>
    <col min="15394" max="15394" width="11" style="219" customWidth="1"/>
    <col min="15395" max="15395" width="14.42578125" style="219" bestFit="1" customWidth="1"/>
    <col min="15396" max="15396" width="20.28515625" style="219" customWidth="1"/>
    <col min="15397" max="15397" width="12.7109375" style="219" bestFit="1" customWidth="1"/>
    <col min="15398" max="15398" width="12.85546875" style="219" bestFit="1" customWidth="1"/>
    <col min="15399" max="15399" width="11" style="219" customWidth="1"/>
    <col min="15400" max="15400" width="10.7109375" style="219" bestFit="1" customWidth="1"/>
    <col min="15401" max="15401" width="17.28515625" style="219" bestFit="1" customWidth="1"/>
    <col min="15402" max="15647" width="9.140625" style="219"/>
    <col min="15648" max="15648" width="49.5703125" style="219" bestFit="1" customWidth="1"/>
    <col min="15649" max="15649" width="18" style="219" bestFit="1" customWidth="1"/>
    <col min="15650" max="15650" width="11" style="219" customWidth="1"/>
    <col min="15651" max="15651" width="14.42578125" style="219" bestFit="1" customWidth="1"/>
    <col min="15652" max="15652" width="20.28515625" style="219" customWidth="1"/>
    <col min="15653" max="15653" width="12.7109375" style="219" bestFit="1" customWidth="1"/>
    <col min="15654" max="15654" width="12.85546875" style="219" bestFit="1" customWidth="1"/>
    <col min="15655" max="15655" width="11" style="219" customWidth="1"/>
    <col min="15656" max="15656" width="10.7109375" style="219" bestFit="1" customWidth="1"/>
    <col min="15657" max="15657" width="17.28515625" style="219" bestFit="1" customWidth="1"/>
    <col min="15658" max="15903" width="9.140625" style="219"/>
    <col min="15904" max="15904" width="49.5703125" style="219" bestFit="1" customWidth="1"/>
    <col min="15905" max="15905" width="18" style="219" bestFit="1" customWidth="1"/>
    <col min="15906" max="15906" width="11" style="219" customWidth="1"/>
    <col min="15907" max="15907" width="14.42578125" style="219" bestFit="1" customWidth="1"/>
    <col min="15908" max="15908" width="20.28515625" style="219" customWidth="1"/>
    <col min="15909" max="15909" width="12.7109375" style="219" bestFit="1" customWidth="1"/>
    <col min="15910" max="15910" width="12.85546875" style="219" bestFit="1" customWidth="1"/>
    <col min="15911" max="15911" width="11" style="219" customWidth="1"/>
    <col min="15912" max="15912" width="10.7109375" style="219" bestFit="1" customWidth="1"/>
    <col min="15913" max="15913" width="17.28515625" style="219" bestFit="1" customWidth="1"/>
    <col min="15914" max="16159" width="9.140625" style="219"/>
    <col min="16160" max="16160" width="49.5703125" style="219" bestFit="1" customWidth="1"/>
    <col min="16161" max="16161" width="18" style="219" bestFit="1" customWidth="1"/>
    <col min="16162" max="16162" width="11" style="219" customWidth="1"/>
    <col min="16163" max="16163" width="14.42578125" style="219" bestFit="1" customWidth="1"/>
    <col min="16164" max="16164" width="20.28515625" style="219" customWidth="1"/>
    <col min="16165" max="16165" width="12.7109375" style="219" bestFit="1" customWidth="1"/>
    <col min="16166" max="16166" width="12.85546875" style="219" bestFit="1" customWidth="1"/>
    <col min="16167" max="16167" width="11" style="219" customWidth="1"/>
    <col min="16168" max="16168" width="10.7109375" style="219" bestFit="1" customWidth="1"/>
    <col min="16169" max="16169" width="17.28515625" style="219" bestFit="1" customWidth="1"/>
    <col min="16170" max="16384" width="9.140625" style="219"/>
  </cols>
  <sheetData>
    <row r="1" spans="1:42">
      <c r="AM1" s="425" t="s">
        <v>140</v>
      </c>
      <c r="AN1" s="425"/>
      <c r="AO1" s="425"/>
    </row>
    <row r="2" spans="1:42">
      <c r="A2" s="308" t="s">
        <v>506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10"/>
    </row>
    <row r="3" spans="1:42">
      <c r="A3" s="411" t="s">
        <v>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3"/>
    </row>
    <row r="4" spans="1:42" s="220" customFormat="1" ht="15" customHeight="1" thickBot="1">
      <c r="A4" s="420" t="s">
        <v>27</v>
      </c>
      <c r="B4" s="420"/>
      <c r="C4" s="428" t="s">
        <v>1</v>
      </c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428"/>
      <c r="S4" s="428"/>
      <c r="T4" s="428"/>
      <c r="U4" s="428"/>
      <c r="V4" s="428"/>
      <c r="W4" s="429" t="s">
        <v>2</v>
      </c>
      <c r="X4" s="430"/>
      <c r="Y4" s="430"/>
      <c r="Z4" s="430"/>
      <c r="AA4" s="430"/>
      <c r="AB4" s="430"/>
      <c r="AC4" s="430"/>
      <c r="AD4" s="430"/>
      <c r="AE4" s="430"/>
      <c r="AF4" s="430"/>
      <c r="AG4" s="430"/>
      <c r="AH4" s="430"/>
      <c r="AI4" s="430"/>
      <c r="AJ4" s="430"/>
      <c r="AK4" s="430"/>
      <c r="AL4" s="431"/>
      <c r="AM4" s="426" t="s">
        <v>3</v>
      </c>
      <c r="AN4" s="427"/>
      <c r="AO4" s="427"/>
    </row>
    <row r="5" spans="1:42" s="220" customFormat="1" ht="45" customHeight="1">
      <c r="A5" s="421" t="s">
        <v>21</v>
      </c>
      <c r="B5" s="423" t="s">
        <v>104</v>
      </c>
      <c r="C5" s="408" t="s">
        <v>108</v>
      </c>
      <c r="D5" s="409"/>
      <c r="E5" s="409"/>
      <c r="F5" s="410"/>
      <c r="G5" s="408" t="s">
        <v>109</v>
      </c>
      <c r="H5" s="409"/>
      <c r="I5" s="409"/>
      <c r="J5" s="432"/>
      <c r="K5" s="408" t="s">
        <v>105</v>
      </c>
      <c r="L5" s="409"/>
      <c r="M5" s="409"/>
      <c r="N5" s="432"/>
      <c r="O5" s="408" t="s">
        <v>106</v>
      </c>
      <c r="P5" s="409"/>
      <c r="Q5" s="409"/>
      <c r="R5" s="410"/>
      <c r="S5" s="408" t="s">
        <v>19</v>
      </c>
      <c r="T5" s="409"/>
      <c r="U5" s="409"/>
      <c r="V5" s="432"/>
      <c r="W5" s="408" t="s">
        <v>110</v>
      </c>
      <c r="X5" s="409"/>
      <c r="Y5" s="409"/>
      <c r="Z5" s="410"/>
      <c r="AA5" s="408" t="s">
        <v>4</v>
      </c>
      <c r="AB5" s="409"/>
      <c r="AC5" s="409"/>
      <c r="AD5" s="432"/>
      <c r="AE5" s="408" t="s">
        <v>111</v>
      </c>
      <c r="AF5" s="409"/>
      <c r="AG5" s="409"/>
      <c r="AH5" s="410"/>
      <c r="AI5" s="408" t="s">
        <v>20</v>
      </c>
      <c r="AJ5" s="409"/>
      <c r="AK5" s="409"/>
      <c r="AL5" s="432"/>
      <c r="AM5" s="414" t="s">
        <v>5</v>
      </c>
      <c r="AN5" s="416" t="s">
        <v>6</v>
      </c>
      <c r="AO5" s="418" t="s">
        <v>7</v>
      </c>
    </row>
    <row r="6" spans="1:42" s="220" customFormat="1">
      <c r="A6" s="422"/>
      <c r="B6" s="424"/>
      <c r="C6" s="218" t="s">
        <v>101</v>
      </c>
      <c r="D6" s="208" t="s">
        <v>100</v>
      </c>
      <c r="E6" s="208" t="s">
        <v>102</v>
      </c>
      <c r="F6" s="221" t="s">
        <v>103</v>
      </c>
      <c r="G6" s="218" t="s">
        <v>101</v>
      </c>
      <c r="H6" s="208" t="s">
        <v>100</v>
      </c>
      <c r="I6" s="208" t="s">
        <v>102</v>
      </c>
      <c r="J6" s="222" t="s">
        <v>103</v>
      </c>
      <c r="K6" s="218" t="s">
        <v>101</v>
      </c>
      <c r="L6" s="208" t="s">
        <v>100</v>
      </c>
      <c r="M6" s="208" t="s">
        <v>102</v>
      </c>
      <c r="N6" s="209" t="s">
        <v>103</v>
      </c>
      <c r="O6" s="218" t="s">
        <v>101</v>
      </c>
      <c r="P6" s="208" t="s">
        <v>100</v>
      </c>
      <c r="Q6" s="208" t="s">
        <v>102</v>
      </c>
      <c r="R6" s="221" t="s">
        <v>103</v>
      </c>
      <c r="S6" s="218" t="s">
        <v>101</v>
      </c>
      <c r="T6" s="208" t="s">
        <v>100</v>
      </c>
      <c r="U6" s="208" t="s">
        <v>102</v>
      </c>
      <c r="V6" s="222" t="s">
        <v>103</v>
      </c>
      <c r="W6" s="218" t="s">
        <v>101</v>
      </c>
      <c r="X6" s="208" t="s">
        <v>100</v>
      </c>
      <c r="Y6" s="208" t="s">
        <v>102</v>
      </c>
      <c r="Z6" s="221" t="s">
        <v>103</v>
      </c>
      <c r="AA6" s="218" t="s">
        <v>101</v>
      </c>
      <c r="AB6" s="208" t="s">
        <v>100</v>
      </c>
      <c r="AC6" s="208" t="s">
        <v>102</v>
      </c>
      <c r="AD6" s="222" t="s">
        <v>103</v>
      </c>
      <c r="AE6" s="218" t="s">
        <v>101</v>
      </c>
      <c r="AF6" s="208" t="s">
        <v>100</v>
      </c>
      <c r="AG6" s="208" t="s">
        <v>102</v>
      </c>
      <c r="AH6" s="221" t="s">
        <v>103</v>
      </c>
      <c r="AI6" s="218" t="s">
        <v>101</v>
      </c>
      <c r="AJ6" s="208" t="s">
        <v>100</v>
      </c>
      <c r="AK6" s="208" t="s">
        <v>102</v>
      </c>
      <c r="AL6" s="222" t="s">
        <v>103</v>
      </c>
      <c r="AM6" s="415"/>
      <c r="AN6" s="417"/>
      <c r="AO6" s="419"/>
    </row>
    <row r="7" spans="1:42" s="220" customFormat="1">
      <c r="A7" s="223"/>
      <c r="B7" s="224" t="s">
        <v>54</v>
      </c>
      <c r="C7" s="218">
        <f>'2.sz.Önkormányzat'!C6</f>
        <v>198223</v>
      </c>
      <c r="D7" s="208">
        <f>'2.sz.Önkormányzat'!D6</f>
        <v>216972</v>
      </c>
      <c r="E7" s="208">
        <f>'2.sz.Önkormányzat'!E6</f>
        <v>192538</v>
      </c>
      <c r="F7" s="210">
        <f>'2.sz.Önkormányzat'!F6</f>
        <v>0.88738639087071147</v>
      </c>
      <c r="G7" s="218">
        <f>'2.sz.Önkormányzat'!G6</f>
        <v>145773</v>
      </c>
      <c r="H7" s="208">
        <f>'2.sz.Önkormányzat'!H6</f>
        <v>177345</v>
      </c>
      <c r="I7" s="208">
        <f>'2.sz.Önkormányzat'!I6</f>
        <v>169928</v>
      </c>
      <c r="J7" s="209">
        <f>'2.sz.Önkormányzat'!J6</f>
        <v>0.95817756350616035</v>
      </c>
      <c r="K7" s="218">
        <f>'2.sz.Önkormányzat'!K6</f>
        <v>46664</v>
      </c>
      <c r="L7" s="208">
        <f>'2.sz.Önkormányzat'!L6</f>
        <v>68616</v>
      </c>
      <c r="M7" s="208">
        <f>'2.sz.Önkormányzat'!M6</f>
        <v>67302</v>
      </c>
      <c r="N7" s="209">
        <f>'2.sz.Önkormányzat'!N6</f>
        <v>0.98084994753410282</v>
      </c>
      <c r="O7" s="218">
        <f>'2.sz.Önkormányzat'!O6</f>
        <v>234266</v>
      </c>
      <c r="P7" s="208">
        <f>'2.sz.Önkormányzat'!P6</f>
        <v>414686</v>
      </c>
      <c r="Q7" s="208">
        <f>'2.sz.Önkormányzat'!Q6</f>
        <v>399904</v>
      </c>
      <c r="R7" s="210">
        <f>'2.sz.Önkormányzat'!R6</f>
        <v>0.96435375199548579</v>
      </c>
      <c r="S7" s="218">
        <f>'2.sz.Önkormányzat'!S6</f>
        <v>624926</v>
      </c>
      <c r="T7" s="208">
        <f>'2.sz.Önkormányzat'!T6</f>
        <v>877619</v>
      </c>
      <c r="U7" s="208">
        <f>'2.sz.Önkormányzat'!U6</f>
        <v>829672</v>
      </c>
      <c r="V7" s="209">
        <f>'2.sz.Önkormányzat'!V6</f>
        <v>0.94536695308556451</v>
      </c>
      <c r="W7" s="218">
        <f>'2.sz.Önkormányzat'!W6</f>
        <v>464431</v>
      </c>
      <c r="X7" s="208">
        <f>'2.sz.Önkormányzat'!X6</f>
        <v>402006</v>
      </c>
      <c r="Y7" s="208">
        <f>'2.sz.Önkormányzat'!Y6</f>
        <v>384146</v>
      </c>
      <c r="Z7" s="210">
        <f>'2.sz.Önkormányzat'!Z6</f>
        <v>0.95557280239598419</v>
      </c>
      <c r="AA7" s="218">
        <f>'2.sz.Önkormányzat'!AA6</f>
        <v>145319</v>
      </c>
      <c r="AB7" s="208">
        <f>'2.sz.Önkormányzat'!AB6</f>
        <v>406473</v>
      </c>
      <c r="AC7" s="208">
        <f>'2.sz.Önkormányzat'!AC6</f>
        <v>406473</v>
      </c>
      <c r="AD7" s="209">
        <f>'2.sz.Önkormányzat'!AD6</f>
        <v>1</v>
      </c>
      <c r="AE7" s="218">
        <f>'2.sz.Önkormányzat'!AE6</f>
        <v>17523</v>
      </c>
      <c r="AF7" s="208">
        <f>'2.sz.Önkormányzat'!AF6</f>
        <v>69140</v>
      </c>
      <c r="AG7" s="208">
        <f>'2.sz.Önkormányzat'!AG6</f>
        <v>70786</v>
      </c>
      <c r="AH7" s="210">
        <f>'2.sz.Önkormányzat'!AH6</f>
        <v>1.023806768874747</v>
      </c>
      <c r="AI7" s="218">
        <f>'2.sz.Önkormányzat'!AI6</f>
        <v>627273</v>
      </c>
      <c r="AJ7" s="208">
        <f>'2.sz.Önkormányzat'!AJ6</f>
        <v>877619</v>
      </c>
      <c r="AK7" s="208">
        <f>'2.sz.Önkormányzat'!AK6</f>
        <v>861405</v>
      </c>
      <c r="AL7" s="209">
        <f>'2.sz.Önkormányzat'!AL6</f>
        <v>0.98152501256239899</v>
      </c>
      <c r="AM7" s="270">
        <f>SUM(AM8:AM28)</f>
        <v>24</v>
      </c>
      <c r="AN7" s="271">
        <f t="shared" ref="AN7" si="0">SUM(AN8:AN28)</f>
        <v>0</v>
      </c>
      <c r="AO7" s="272">
        <v>103</v>
      </c>
    </row>
    <row r="8" spans="1:42" s="229" customFormat="1">
      <c r="A8" s="225" t="s">
        <v>42</v>
      </c>
      <c r="B8" s="226" t="s">
        <v>22</v>
      </c>
      <c r="C8" s="216">
        <f>'2.sz.Önkormányzat'!C7</f>
        <v>0</v>
      </c>
      <c r="D8" s="212">
        <f>'2.sz.Önkormányzat'!D7</f>
        <v>0</v>
      </c>
      <c r="E8" s="212">
        <f>'2.sz.Önkormányzat'!E7</f>
        <v>0</v>
      </c>
      <c r="F8" s="214" t="s">
        <v>78</v>
      </c>
      <c r="G8" s="216">
        <f>'2.sz.Önkormányzat'!G7</f>
        <v>15960</v>
      </c>
      <c r="H8" s="212">
        <f>'2.sz.Önkormányzat'!H7</f>
        <v>22662</v>
      </c>
      <c r="I8" s="212">
        <f>'2.sz.Önkormányzat'!I7</f>
        <v>23427</v>
      </c>
      <c r="J8" s="213">
        <f>'2.sz.Önkormányzat'!J7</f>
        <v>1.0337569499602859</v>
      </c>
      <c r="K8" s="216">
        <f>'2.sz.Önkormányzat'!K7</f>
        <v>0</v>
      </c>
      <c r="L8" s="212">
        <f>'2.sz.Önkormányzat'!L7</f>
        <v>0</v>
      </c>
      <c r="M8" s="212">
        <f>'2.sz.Önkormányzat'!M7</f>
        <v>0</v>
      </c>
      <c r="N8" s="213" t="s">
        <v>78</v>
      </c>
      <c r="O8" s="216">
        <f>'2.sz.Önkormányzat'!O7</f>
        <v>0</v>
      </c>
      <c r="P8" s="212">
        <f>'2.sz.Önkormányzat'!P7</f>
        <v>0</v>
      </c>
      <c r="Q8" s="212">
        <f>'2.sz.Önkormányzat'!Q7</f>
        <v>0</v>
      </c>
      <c r="R8" s="214" t="s">
        <v>78</v>
      </c>
      <c r="S8" s="216">
        <f t="shared" ref="S8:S45" si="1">C8+G8+K8+O8</f>
        <v>15960</v>
      </c>
      <c r="T8" s="212">
        <f t="shared" ref="T8:T45" si="2">D8+H8+L8+P8</f>
        <v>22662</v>
      </c>
      <c r="U8" s="212">
        <f t="shared" ref="U8:U45" si="3">E8+I8+M8+Q8</f>
        <v>23427</v>
      </c>
      <c r="V8" s="213">
        <f>'2.sz.Önkormányzat'!V7</f>
        <v>1.0337569499602859</v>
      </c>
      <c r="W8" s="216">
        <f>'2.sz.Önkormányzat'!W7</f>
        <v>0</v>
      </c>
      <c r="X8" s="212">
        <f>'2.sz.Önkormányzat'!X7</f>
        <v>0</v>
      </c>
      <c r="Y8" s="212">
        <f>'2.sz.Önkormányzat'!Y7</f>
        <v>0</v>
      </c>
      <c r="Z8" s="214" t="s">
        <v>78</v>
      </c>
      <c r="AA8" s="216">
        <f>'2.sz.Önkormányzat'!AA7</f>
        <v>10610</v>
      </c>
      <c r="AB8" s="212">
        <f>'2.sz.Önkormányzat'!AB7</f>
        <v>0</v>
      </c>
      <c r="AC8" s="212">
        <f>'2.sz.Önkormányzat'!AC7</f>
        <v>0</v>
      </c>
      <c r="AD8" s="217">
        <f>'2.sz.Önkormányzat'!AD7</f>
        <v>0</v>
      </c>
      <c r="AE8" s="216">
        <f>'2.sz.Önkormányzat'!AE7</f>
        <v>0</v>
      </c>
      <c r="AF8" s="212">
        <f>'2.sz.Önkormányzat'!AF7</f>
        <v>0</v>
      </c>
      <c r="AG8" s="212">
        <f>'2.sz.Önkormányzat'!AG7</f>
        <v>0</v>
      </c>
      <c r="AH8" s="214" t="s">
        <v>78</v>
      </c>
      <c r="AI8" s="216">
        <f t="shared" ref="AI8:AJ44" si="4">W8+AA8+AE8</f>
        <v>10610</v>
      </c>
      <c r="AJ8" s="212">
        <f t="shared" ref="AJ8:AJ45" si="5">X8+AB8+AF8</f>
        <v>0</v>
      </c>
      <c r="AK8" s="212">
        <f t="shared" ref="AK8:AL44" si="6">Y8+AC8+AG8</f>
        <v>0</v>
      </c>
      <c r="AL8" s="213" t="s">
        <v>78</v>
      </c>
      <c r="AM8" s="273">
        <f>- AM13</f>
        <v>0</v>
      </c>
      <c r="AN8" s="227"/>
      <c r="AO8" s="274"/>
      <c r="AP8" s="228"/>
    </row>
    <row r="9" spans="1:42">
      <c r="A9" s="230" t="s">
        <v>43</v>
      </c>
      <c r="B9" s="226" t="s">
        <v>23</v>
      </c>
      <c r="C9" s="216">
        <f>'2.sz.Önkormányzat'!C8</f>
        <v>0</v>
      </c>
      <c r="D9" s="212">
        <f>'2.sz.Önkormányzat'!D8</f>
        <v>8938</v>
      </c>
      <c r="E9" s="212">
        <f>'2.sz.Önkormányzat'!E8</f>
        <v>8938</v>
      </c>
      <c r="F9" s="214">
        <f>'2.sz.Önkormányzat'!F8</f>
        <v>1</v>
      </c>
      <c r="G9" s="216">
        <f>'2.sz.Önkormányzat'!G8</f>
        <v>356</v>
      </c>
      <c r="H9" s="212">
        <f>'2.sz.Önkormányzat'!H8</f>
        <v>24841</v>
      </c>
      <c r="I9" s="212">
        <f>'2.sz.Önkormányzat'!I8</f>
        <v>16590</v>
      </c>
      <c r="J9" s="213">
        <f>'2.sz.Önkormányzat'!J8</f>
        <v>0.66784751016464716</v>
      </c>
      <c r="K9" s="216">
        <f>'2.sz.Önkormányzat'!K8</f>
        <v>0</v>
      </c>
      <c r="L9" s="212">
        <f>'2.sz.Önkormányzat'!L8</f>
        <v>0</v>
      </c>
      <c r="M9" s="212">
        <f>'2.sz.Önkormányzat'!M8</f>
        <v>115</v>
      </c>
      <c r="N9" s="213" t="s">
        <v>78</v>
      </c>
      <c r="O9" s="216">
        <f>'2.sz.Önkormányzat'!O8</f>
        <v>0</v>
      </c>
      <c r="P9" s="212">
        <f>'2.sz.Önkormányzat'!P8</f>
        <v>0</v>
      </c>
      <c r="Q9" s="212">
        <f>'2.sz.Önkormányzat'!Q8</f>
        <v>0</v>
      </c>
      <c r="R9" s="214" t="s">
        <v>78</v>
      </c>
      <c r="S9" s="216">
        <f t="shared" si="1"/>
        <v>356</v>
      </c>
      <c r="T9" s="212">
        <f t="shared" si="2"/>
        <v>33779</v>
      </c>
      <c r="U9" s="212">
        <f t="shared" si="3"/>
        <v>25643</v>
      </c>
      <c r="V9" s="213">
        <f>'2.sz.Önkormányzat'!V8</f>
        <v>0.75914029426566798</v>
      </c>
      <c r="W9" s="216">
        <f>'2.sz.Önkormányzat'!W8</f>
        <v>356</v>
      </c>
      <c r="X9" s="212">
        <f>'2.sz.Önkormányzat'!X8</f>
        <v>379</v>
      </c>
      <c r="Y9" s="212">
        <f>'2.sz.Önkormányzat'!Y8</f>
        <v>9736</v>
      </c>
      <c r="Z9" s="214" t="s">
        <v>78</v>
      </c>
      <c r="AA9" s="216">
        <f>'2.sz.Önkormányzat'!AA8</f>
        <v>0</v>
      </c>
      <c r="AB9" s="212">
        <f>'2.sz.Önkormányzat'!AB8</f>
        <v>0</v>
      </c>
      <c r="AC9" s="212">
        <f>'2.sz.Önkormányzat'!AC8</f>
        <v>0</v>
      </c>
      <c r="AD9" s="217">
        <f>'2.sz.Önkormányzat'!AD8</f>
        <v>0</v>
      </c>
      <c r="AE9" s="216">
        <f>'2.sz.Önkormányzat'!AE8</f>
        <v>0</v>
      </c>
      <c r="AF9" s="212">
        <f>'2.sz.Önkormányzat'!AF8</f>
        <v>0</v>
      </c>
      <c r="AG9" s="212">
        <f>'2.sz.Önkormányzat'!AG8</f>
        <v>0</v>
      </c>
      <c r="AH9" s="214" t="s">
        <v>78</v>
      </c>
      <c r="AI9" s="216">
        <f t="shared" si="4"/>
        <v>356</v>
      </c>
      <c r="AJ9" s="212">
        <f t="shared" si="5"/>
        <v>379</v>
      </c>
      <c r="AK9" s="212">
        <f t="shared" si="6"/>
        <v>9736</v>
      </c>
      <c r="AL9" s="213" t="s">
        <v>78</v>
      </c>
      <c r="AM9" s="107">
        <v>0</v>
      </c>
      <c r="AN9" s="18">
        <v>0</v>
      </c>
      <c r="AO9" s="25">
        <v>0</v>
      </c>
    </row>
    <row r="10" spans="1:42">
      <c r="A10" s="230" t="s">
        <v>43</v>
      </c>
      <c r="B10" s="226" t="s">
        <v>24</v>
      </c>
      <c r="C10" s="216">
        <f>'2.sz.Önkormányzat'!C9</f>
        <v>0</v>
      </c>
      <c r="D10" s="212">
        <f>'2.sz.Önkormányzat'!D9</f>
        <v>0</v>
      </c>
      <c r="E10" s="212">
        <f>'2.sz.Önkormányzat'!E9</f>
        <v>0</v>
      </c>
      <c r="F10" s="214" t="s">
        <v>78</v>
      </c>
      <c r="G10" s="216">
        <f>'2.sz.Önkormányzat'!G9</f>
        <v>0</v>
      </c>
      <c r="H10" s="212">
        <f>'2.sz.Önkormányzat'!H9</f>
        <v>0</v>
      </c>
      <c r="I10" s="212">
        <f>'2.sz.Önkormányzat'!I9</f>
        <v>0</v>
      </c>
      <c r="J10" s="213">
        <f>'2.sz.Önkormányzat'!J9</f>
        <v>0</v>
      </c>
      <c r="K10" s="216">
        <f>'2.sz.Önkormányzat'!K9</f>
        <v>8900</v>
      </c>
      <c r="L10" s="212">
        <f>'2.sz.Önkormányzat'!L9</f>
        <v>0</v>
      </c>
      <c r="M10" s="212">
        <f>'2.sz.Önkormányzat'!M9</f>
        <v>0</v>
      </c>
      <c r="N10" s="213" t="s">
        <v>78</v>
      </c>
      <c r="O10" s="216">
        <f>'2.sz.Önkormányzat'!O9</f>
        <v>0</v>
      </c>
      <c r="P10" s="212">
        <f>'2.sz.Önkormányzat'!P9</f>
        <v>0</v>
      </c>
      <c r="Q10" s="212">
        <f>'2.sz.Önkormányzat'!Q9</f>
        <v>0</v>
      </c>
      <c r="R10" s="214" t="s">
        <v>78</v>
      </c>
      <c r="S10" s="216">
        <f t="shared" si="1"/>
        <v>8900</v>
      </c>
      <c r="T10" s="212">
        <f t="shared" si="2"/>
        <v>0</v>
      </c>
      <c r="U10" s="212">
        <f t="shared" si="3"/>
        <v>0</v>
      </c>
      <c r="V10" s="213">
        <f>'2.sz.Önkormányzat'!V9</f>
        <v>0</v>
      </c>
      <c r="W10" s="216">
        <f>'2.sz.Önkormányzat'!W9</f>
        <v>9624</v>
      </c>
      <c r="X10" s="212">
        <f>'2.sz.Önkormányzat'!X9</f>
        <v>0</v>
      </c>
      <c r="Y10" s="212">
        <f>'2.sz.Önkormányzat'!Y9</f>
        <v>0</v>
      </c>
      <c r="Z10" s="214" t="s">
        <v>78</v>
      </c>
      <c r="AA10" s="216">
        <f>'2.sz.Önkormányzat'!AA9</f>
        <v>0</v>
      </c>
      <c r="AB10" s="212">
        <f>'2.sz.Önkormányzat'!AB9</f>
        <v>0</v>
      </c>
      <c r="AC10" s="212">
        <f>'2.sz.Önkormányzat'!AC9</f>
        <v>0</v>
      </c>
      <c r="AD10" s="217">
        <f>'2.sz.Önkormányzat'!AD9</f>
        <v>0</v>
      </c>
      <c r="AE10" s="216">
        <f>'2.sz.Önkormányzat'!AE9</f>
        <v>0</v>
      </c>
      <c r="AF10" s="212">
        <f>'2.sz.Önkormányzat'!AF9</f>
        <v>0</v>
      </c>
      <c r="AG10" s="212">
        <f>'2.sz.Önkormányzat'!AG9</f>
        <v>0</v>
      </c>
      <c r="AH10" s="214" t="s">
        <v>78</v>
      </c>
      <c r="AI10" s="216">
        <f t="shared" si="4"/>
        <v>9624</v>
      </c>
      <c r="AJ10" s="212">
        <f t="shared" si="5"/>
        <v>0</v>
      </c>
      <c r="AK10" s="212">
        <f t="shared" si="6"/>
        <v>0</v>
      </c>
      <c r="AL10" s="213" t="s">
        <v>78</v>
      </c>
      <c r="AM10" s="107">
        <v>0</v>
      </c>
      <c r="AN10" s="18">
        <v>0</v>
      </c>
      <c r="AO10" s="25">
        <v>0</v>
      </c>
    </row>
    <row r="11" spans="1:42">
      <c r="A11" s="230" t="s">
        <v>43</v>
      </c>
      <c r="B11" s="226" t="s">
        <v>25</v>
      </c>
      <c r="C11" s="216">
        <f>'2.sz.Önkormányzat'!C10</f>
        <v>0</v>
      </c>
      <c r="D11" s="212">
        <f>'2.sz.Önkormányzat'!D10</f>
        <v>0</v>
      </c>
      <c r="E11" s="212">
        <f>'2.sz.Önkormányzat'!E10</f>
        <v>0</v>
      </c>
      <c r="F11" s="214" t="s">
        <v>78</v>
      </c>
      <c r="G11" s="216">
        <f>'2.sz.Önkormányzat'!G10</f>
        <v>11635</v>
      </c>
      <c r="H11" s="212">
        <f>'2.sz.Önkormányzat'!H10</f>
        <v>19995</v>
      </c>
      <c r="I11" s="212">
        <f>'2.sz.Önkormányzat'!I10</f>
        <v>32848</v>
      </c>
      <c r="J11" s="213">
        <f>'2.sz.Önkormányzat'!J10</f>
        <v>1.6428107026756689</v>
      </c>
      <c r="K11" s="216">
        <f>'2.sz.Önkormányzat'!K10</f>
        <v>0</v>
      </c>
      <c r="L11" s="212">
        <f>'2.sz.Önkormányzat'!L10</f>
        <v>9264</v>
      </c>
      <c r="M11" s="212">
        <f>'2.sz.Önkormányzat'!M10</f>
        <v>9855</v>
      </c>
      <c r="N11" s="213">
        <f>'2.sz.Önkormányzat'!N10</f>
        <v>1.0637953367875648</v>
      </c>
      <c r="O11" s="216">
        <f>'2.sz.Önkormányzat'!O10</f>
        <v>0</v>
      </c>
      <c r="P11" s="212">
        <f>'2.sz.Önkormányzat'!P10</f>
        <v>1490</v>
      </c>
      <c r="Q11" s="212">
        <f>'2.sz.Önkormányzat'!Q10</f>
        <v>8195</v>
      </c>
      <c r="R11" s="214" t="s">
        <v>78</v>
      </c>
      <c r="S11" s="216">
        <f t="shared" si="1"/>
        <v>11635</v>
      </c>
      <c r="T11" s="212">
        <f t="shared" si="2"/>
        <v>30749</v>
      </c>
      <c r="U11" s="212">
        <f t="shared" si="3"/>
        <v>50898</v>
      </c>
      <c r="V11" s="213">
        <f>'2.sz.Önkormányzat'!V10</f>
        <v>1.6552733422225112</v>
      </c>
      <c r="W11" s="216">
        <f>'2.sz.Önkormányzat'!W10</f>
        <v>0</v>
      </c>
      <c r="X11" s="212">
        <f>'2.sz.Önkormányzat'!X10</f>
        <v>13489</v>
      </c>
      <c r="Y11" s="212">
        <f>'2.sz.Önkormányzat'!Y10</f>
        <v>10806</v>
      </c>
      <c r="Z11" s="214">
        <f>'2.sz.Önkormányzat'!Z10</f>
        <v>0.80109719030321003</v>
      </c>
      <c r="AA11" s="216">
        <f>'2.sz.Önkormányzat'!AA10</f>
        <v>0</v>
      </c>
      <c r="AB11" s="212">
        <f>'2.sz.Önkormányzat'!AB10</f>
        <v>0</v>
      </c>
      <c r="AC11" s="212">
        <f>'2.sz.Önkormányzat'!AC10</f>
        <v>0</v>
      </c>
      <c r="AD11" s="217">
        <f>'2.sz.Önkormányzat'!AD10</f>
        <v>0</v>
      </c>
      <c r="AE11" s="216">
        <f>'2.sz.Önkormányzat'!AE10</f>
        <v>0</v>
      </c>
      <c r="AF11" s="212">
        <f>'2.sz.Önkormányzat'!AF10</f>
        <v>0</v>
      </c>
      <c r="AG11" s="212">
        <f>'2.sz.Önkormányzat'!AG10</f>
        <v>0</v>
      </c>
      <c r="AH11" s="214" t="s">
        <v>78</v>
      </c>
      <c r="AI11" s="216">
        <f t="shared" si="4"/>
        <v>0</v>
      </c>
      <c r="AJ11" s="212">
        <f t="shared" si="5"/>
        <v>13489</v>
      </c>
      <c r="AK11" s="212">
        <f t="shared" si="6"/>
        <v>10806</v>
      </c>
      <c r="AL11" s="213">
        <f>'2.sz.Önkormányzat'!AL10</f>
        <v>0.80109719030321003</v>
      </c>
      <c r="AM11" s="107">
        <v>0</v>
      </c>
      <c r="AN11" s="18">
        <v>0</v>
      </c>
      <c r="AO11" s="25">
        <v>0</v>
      </c>
    </row>
    <row r="12" spans="1:42">
      <c r="A12" s="230" t="s">
        <v>42</v>
      </c>
      <c r="B12" s="226" t="s">
        <v>26</v>
      </c>
      <c r="C12" s="216">
        <f>'2.sz.Önkormányzat'!C11</f>
        <v>0</v>
      </c>
      <c r="D12" s="212">
        <f>'2.sz.Önkormányzat'!D11</f>
        <v>0</v>
      </c>
      <c r="E12" s="212">
        <f>'2.sz.Önkormányzat'!E11</f>
        <v>0</v>
      </c>
      <c r="F12" s="214" t="s">
        <v>78</v>
      </c>
      <c r="G12" s="216">
        <f>'2.sz.Önkormányzat'!G11</f>
        <v>15616</v>
      </c>
      <c r="H12" s="212">
        <f>'2.sz.Önkormányzat'!H11</f>
        <v>15616</v>
      </c>
      <c r="I12" s="212">
        <f>'2.sz.Önkormányzat'!I11</f>
        <v>11060</v>
      </c>
      <c r="J12" s="213">
        <f>'2.sz.Önkormányzat'!J11</f>
        <v>0.70824795081967218</v>
      </c>
      <c r="K12" s="216">
        <f>'2.sz.Önkormányzat'!K11</f>
        <v>0</v>
      </c>
      <c r="L12" s="212">
        <f>'2.sz.Önkormányzat'!L11</f>
        <v>0</v>
      </c>
      <c r="M12" s="212">
        <f>'2.sz.Önkormányzat'!M11</f>
        <v>382</v>
      </c>
      <c r="N12" s="213" t="s">
        <v>78</v>
      </c>
      <c r="O12" s="216">
        <f>'2.sz.Önkormányzat'!O11</f>
        <v>0</v>
      </c>
      <c r="P12" s="212">
        <f>'2.sz.Önkormányzat'!P11</f>
        <v>0</v>
      </c>
      <c r="Q12" s="212">
        <f>'2.sz.Önkormányzat'!Q11</f>
        <v>0</v>
      </c>
      <c r="R12" s="214" t="s">
        <v>78</v>
      </c>
      <c r="S12" s="216">
        <f t="shared" si="1"/>
        <v>15616</v>
      </c>
      <c r="T12" s="212">
        <f t="shared" si="2"/>
        <v>15616</v>
      </c>
      <c r="U12" s="212">
        <f t="shared" si="3"/>
        <v>11442</v>
      </c>
      <c r="V12" s="213">
        <f>'2.sz.Önkormányzat'!V11</f>
        <v>0.73271004098360659</v>
      </c>
      <c r="W12" s="216">
        <f>'2.sz.Önkormányzat'!W11</f>
        <v>0</v>
      </c>
      <c r="X12" s="212">
        <f>'2.sz.Önkormányzat'!X11</f>
        <v>0</v>
      </c>
      <c r="Y12" s="212">
        <f>'2.sz.Önkormányzat'!Y11</f>
        <v>0</v>
      </c>
      <c r="Z12" s="214" t="s">
        <v>78</v>
      </c>
      <c r="AA12" s="216">
        <f>'2.sz.Önkormányzat'!AA11</f>
        <v>15616</v>
      </c>
      <c r="AB12" s="212">
        <f>'2.sz.Önkormányzat'!AB11</f>
        <v>0</v>
      </c>
      <c r="AC12" s="212">
        <f>'2.sz.Önkormányzat'!AC11</f>
        <v>0</v>
      </c>
      <c r="AD12" s="217">
        <f>'2.sz.Önkormányzat'!AD11</f>
        <v>0</v>
      </c>
      <c r="AE12" s="216">
        <f>'2.sz.Önkormányzat'!AE11</f>
        <v>0</v>
      </c>
      <c r="AF12" s="212">
        <f>'2.sz.Önkormányzat'!AF11</f>
        <v>0</v>
      </c>
      <c r="AG12" s="212">
        <f>'2.sz.Önkormányzat'!AG11</f>
        <v>0</v>
      </c>
      <c r="AH12" s="214" t="s">
        <v>78</v>
      </c>
      <c r="AI12" s="216">
        <f t="shared" si="4"/>
        <v>15616</v>
      </c>
      <c r="AJ12" s="212">
        <f t="shared" si="5"/>
        <v>0</v>
      </c>
      <c r="AK12" s="212">
        <f t="shared" si="6"/>
        <v>0</v>
      </c>
      <c r="AL12" s="213" t="s">
        <v>78</v>
      </c>
      <c r="AM12" s="107">
        <v>0</v>
      </c>
      <c r="AN12" s="18">
        <v>0</v>
      </c>
      <c r="AO12" s="25">
        <v>0</v>
      </c>
    </row>
    <row r="13" spans="1:42" ht="33.75" customHeight="1">
      <c r="A13" s="230" t="s">
        <v>42</v>
      </c>
      <c r="B13" s="231" t="s">
        <v>30</v>
      </c>
      <c r="C13" s="216">
        <f>'2.sz.Önkormányzat'!C12</f>
        <v>0</v>
      </c>
      <c r="D13" s="212">
        <f>'2.sz.Önkormányzat'!D12</f>
        <v>0</v>
      </c>
      <c r="E13" s="212">
        <f>'2.sz.Önkormányzat'!E12</f>
        <v>0</v>
      </c>
      <c r="F13" s="214" t="s">
        <v>78</v>
      </c>
      <c r="G13" s="216">
        <f>'2.sz.Önkormányzat'!G12</f>
        <v>0</v>
      </c>
      <c r="H13" s="212">
        <f>'2.sz.Önkormányzat'!H12</f>
        <v>0</v>
      </c>
      <c r="I13" s="212">
        <f>'2.sz.Önkormányzat'!I12</f>
        <v>0</v>
      </c>
      <c r="J13" s="213" t="s">
        <v>78</v>
      </c>
      <c r="K13" s="216">
        <f>'2.sz.Önkormányzat'!K12</f>
        <v>0</v>
      </c>
      <c r="L13" s="212">
        <f>'2.sz.Önkormányzat'!L12</f>
        <v>0</v>
      </c>
      <c r="M13" s="212">
        <f>'2.sz.Önkormányzat'!M12</f>
        <v>0</v>
      </c>
      <c r="N13" s="213" t="s">
        <v>78</v>
      </c>
      <c r="O13" s="216">
        <f>'2.sz.Önkormányzat'!O12</f>
        <v>130487</v>
      </c>
      <c r="P13" s="212">
        <f>'2.sz.Önkormányzat'!P12</f>
        <v>0</v>
      </c>
      <c r="Q13" s="212">
        <f>'2.sz.Önkormányzat'!Q12</f>
        <v>0</v>
      </c>
      <c r="R13" s="214" t="s">
        <v>78</v>
      </c>
      <c r="S13" s="216">
        <f t="shared" si="1"/>
        <v>130487</v>
      </c>
      <c r="T13" s="212">
        <f t="shared" si="2"/>
        <v>0</v>
      </c>
      <c r="U13" s="212">
        <f t="shared" si="3"/>
        <v>0</v>
      </c>
      <c r="V13" s="213" t="s">
        <v>78</v>
      </c>
      <c r="W13" s="216">
        <f>'2.sz.Önkormányzat'!W12</f>
        <v>71986</v>
      </c>
      <c r="X13" s="212">
        <f>'2.sz.Önkormányzat'!X12</f>
        <v>0</v>
      </c>
      <c r="Y13" s="212">
        <f>'2.sz.Önkormányzat'!Y12</f>
        <v>0</v>
      </c>
      <c r="Z13" s="214" t="s">
        <v>78</v>
      </c>
      <c r="AA13" s="216">
        <f>'2.sz.Önkormányzat'!AA12</f>
        <v>58503</v>
      </c>
      <c r="AB13" s="212">
        <f>'2.sz.Önkormányzat'!AB12</f>
        <v>0</v>
      </c>
      <c r="AC13" s="212">
        <f>'2.sz.Önkormányzat'!AC12</f>
        <v>0</v>
      </c>
      <c r="AD13" s="217">
        <f>'2.sz.Önkormányzat'!AD12</f>
        <v>0</v>
      </c>
      <c r="AE13" s="216">
        <f>'2.sz.Önkormányzat'!AE12</f>
        <v>0</v>
      </c>
      <c r="AF13" s="212">
        <f>'2.sz.Önkormányzat'!AF12</f>
        <v>0</v>
      </c>
      <c r="AG13" s="212">
        <f>'2.sz.Önkormányzat'!AG12</f>
        <v>0</v>
      </c>
      <c r="AH13" s="214" t="s">
        <v>78</v>
      </c>
      <c r="AI13" s="216">
        <f t="shared" si="4"/>
        <v>130489</v>
      </c>
      <c r="AJ13" s="212">
        <f t="shared" si="5"/>
        <v>0</v>
      </c>
      <c r="AK13" s="212">
        <f t="shared" si="6"/>
        <v>0</v>
      </c>
      <c r="AL13" s="213" t="s">
        <v>78</v>
      </c>
      <c r="AM13" s="107">
        <v>0</v>
      </c>
      <c r="AN13" s="18">
        <v>0</v>
      </c>
      <c r="AO13" s="25">
        <v>0</v>
      </c>
    </row>
    <row r="14" spans="1:42" ht="33.75" customHeight="1">
      <c r="A14" s="230" t="s">
        <v>42</v>
      </c>
      <c r="B14" s="231" t="s">
        <v>94</v>
      </c>
      <c r="C14" s="216">
        <f>'2.sz.Önkormányzat'!C13</f>
        <v>0</v>
      </c>
      <c r="D14" s="212">
        <f>'2.sz.Önkormányzat'!D13</f>
        <v>2942</v>
      </c>
      <c r="E14" s="212">
        <f>'2.sz.Önkormányzat'!E13</f>
        <v>2942</v>
      </c>
      <c r="F14" s="214">
        <f>'2.sz.Önkormányzat'!F13</f>
        <v>1</v>
      </c>
      <c r="G14" s="216">
        <f>'2.sz.Önkormányzat'!G13</f>
        <v>0</v>
      </c>
      <c r="H14" s="212">
        <f>'2.sz.Önkormányzat'!H13</f>
        <v>4</v>
      </c>
      <c r="I14" s="212">
        <f>'2.sz.Önkormányzat'!I13</f>
        <v>2</v>
      </c>
      <c r="J14" s="213">
        <f>'2.sz.Önkormányzat'!J13</f>
        <v>0.5</v>
      </c>
      <c r="K14" s="216">
        <f>'2.sz.Önkormányzat'!K13</f>
        <v>0</v>
      </c>
      <c r="L14" s="212">
        <f>'2.sz.Önkormányzat'!L13</f>
        <v>0</v>
      </c>
      <c r="M14" s="212">
        <f>'2.sz.Önkormányzat'!M13</f>
        <v>0</v>
      </c>
      <c r="N14" s="213" t="s">
        <v>78</v>
      </c>
      <c r="O14" s="216">
        <f>'2.sz.Önkormányzat'!O13</f>
        <v>0</v>
      </c>
      <c r="P14" s="212">
        <f>'2.sz.Önkormányzat'!P13</f>
        <v>4261</v>
      </c>
      <c r="Q14" s="212">
        <f>'2.sz.Önkormányzat'!Q13</f>
        <v>4261</v>
      </c>
      <c r="R14" s="214">
        <f>'2.sz.Önkormányzat'!R13</f>
        <v>1</v>
      </c>
      <c r="S14" s="216">
        <f t="shared" si="1"/>
        <v>0</v>
      </c>
      <c r="T14" s="212">
        <f t="shared" si="2"/>
        <v>7207</v>
      </c>
      <c r="U14" s="212">
        <f t="shared" si="3"/>
        <v>7205</v>
      </c>
      <c r="V14" s="213">
        <f>'2.sz.Önkormányzat'!V13</f>
        <v>0.99972249202164565</v>
      </c>
      <c r="W14" s="216">
        <f>'2.sz.Önkormányzat'!W13</f>
        <v>102894</v>
      </c>
      <c r="X14" s="212">
        <f>'2.sz.Önkormányzat'!X13</f>
        <v>0</v>
      </c>
      <c r="Y14" s="212">
        <f>'2.sz.Önkormányzat'!Y13</f>
        <v>0</v>
      </c>
      <c r="Z14" s="214" t="s">
        <v>78</v>
      </c>
      <c r="AA14" s="216">
        <f>'2.sz.Önkormányzat'!AA13</f>
        <v>11564</v>
      </c>
      <c r="AB14" s="212">
        <f>'2.sz.Önkormányzat'!AB13</f>
        <v>406473</v>
      </c>
      <c r="AC14" s="212">
        <f>'2.sz.Önkormányzat'!AC13</f>
        <v>406473</v>
      </c>
      <c r="AD14" s="213">
        <f>'2.sz.Önkormányzat'!AD13</f>
        <v>1</v>
      </c>
      <c r="AE14" s="216">
        <f>'2.sz.Önkormányzat'!AE13</f>
        <v>0</v>
      </c>
      <c r="AF14" s="212">
        <f>'2.sz.Önkormányzat'!AF13</f>
        <v>12415</v>
      </c>
      <c r="AG14" s="212">
        <f>'2.sz.Önkormányzat'!AG13</f>
        <v>12415</v>
      </c>
      <c r="AH14" s="214">
        <f>'2.sz.Önkormányzat'!AH13</f>
        <v>1</v>
      </c>
      <c r="AI14" s="216">
        <f t="shared" si="4"/>
        <v>114458</v>
      </c>
      <c r="AJ14" s="212">
        <f t="shared" si="5"/>
        <v>418888</v>
      </c>
      <c r="AK14" s="212">
        <f t="shared" si="6"/>
        <v>418888</v>
      </c>
      <c r="AL14" s="213">
        <f>'2.sz.Önkormányzat'!AL13</f>
        <v>1</v>
      </c>
      <c r="AM14" s="107">
        <v>19</v>
      </c>
      <c r="AN14" s="18"/>
      <c r="AO14" s="25"/>
    </row>
    <row r="15" spans="1:42">
      <c r="A15" s="230" t="s">
        <v>42</v>
      </c>
      <c r="B15" s="226" t="s">
        <v>28</v>
      </c>
      <c r="C15" s="216">
        <f>'2.sz.Önkormányzat'!C14</f>
        <v>0</v>
      </c>
      <c r="D15" s="212">
        <f>'2.sz.Önkormányzat'!D14</f>
        <v>0</v>
      </c>
      <c r="E15" s="212">
        <f>'2.sz.Önkormányzat'!E14</f>
        <v>0</v>
      </c>
      <c r="F15" s="214" t="s">
        <v>78</v>
      </c>
      <c r="G15" s="216">
        <f>'2.sz.Önkormányzat'!G14</f>
        <v>4411</v>
      </c>
      <c r="H15" s="212">
        <f>'2.sz.Önkormányzat'!H14</f>
        <v>0</v>
      </c>
      <c r="I15" s="212">
        <f>'2.sz.Önkormányzat'!I14</f>
        <v>0</v>
      </c>
      <c r="J15" s="213" t="s">
        <v>78</v>
      </c>
      <c r="K15" s="216">
        <f>'2.sz.Önkormányzat'!K14</f>
        <v>0</v>
      </c>
      <c r="L15" s="212">
        <f>'2.sz.Önkormányzat'!L14</f>
        <v>0</v>
      </c>
      <c r="M15" s="212">
        <f>'2.sz.Önkormányzat'!M14</f>
        <v>0</v>
      </c>
      <c r="N15" s="213" t="s">
        <v>78</v>
      </c>
      <c r="O15" s="216">
        <f>'2.sz.Önkormányzat'!O14</f>
        <v>0</v>
      </c>
      <c r="P15" s="212">
        <f>'2.sz.Önkormányzat'!P14</f>
        <v>0</v>
      </c>
      <c r="Q15" s="212">
        <f>'2.sz.Önkormányzat'!Q14</f>
        <v>0</v>
      </c>
      <c r="R15" s="214" t="s">
        <v>78</v>
      </c>
      <c r="S15" s="216">
        <f t="shared" si="1"/>
        <v>4411</v>
      </c>
      <c r="T15" s="212">
        <f t="shared" si="2"/>
        <v>0</v>
      </c>
      <c r="U15" s="212">
        <f t="shared" si="3"/>
        <v>0</v>
      </c>
      <c r="V15" s="213" t="s">
        <v>78</v>
      </c>
      <c r="W15" s="216">
        <f>'2.sz.Önkormányzat'!W14</f>
        <v>0</v>
      </c>
      <c r="X15" s="212">
        <f>'2.sz.Önkormányzat'!X14</f>
        <v>0</v>
      </c>
      <c r="Y15" s="212">
        <f>'2.sz.Önkormányzat'!Y14</f>
        <v>0</v>
      </c>
      <c r="Z15" s="214" t="s">
        <v>78</v>
      </c>
      <c r="AA15" s="216">
        <f>'2.sz.Önkormányzat'!AA14</f>
        <v>0</v>
      </c>
      <c r="AB15" s="212">
        <f>'2.sz.Önkormányzat'!AB14</f>
        <v>0</v>
      </c>
      <c r="AC15" s="212">
        <f>'2.sz.Önkormányzat'!AC14</f>
        <v>0</v>
      </c>
      <c r="AD15" s="217">
        <f>'2.sz.Önkormányzat'!AD14</f>
        <v>0</v>
      </c>
      <c r="AE15" s="216">
        <f>'2.sz.Önkormányzat'!AE14</f>
        <v>0</v>
      </c>
      <c r="AF15" s="212">
        <f>'2.sz.Önkormányzat'!AF14</f>
        <v>0</v>
      </c>
      <c r="AG15" s="212">
        <f>'2.sz.Önkormányzat'!AG14</f>
        <v>0</v>
      </c>
      <c r="AH15" s="214" t="s">
        <v>78</v>
      </c>
      <c r="AI15" s="216">
        <f t="shared" si="4"/>
        <v>0</v>
      </c>
      <c r="AJ15" s="212">
        <f t="shared" si="5"/>
        <v>0</v>
      </c>
      <c r="AK15" s="212">
        <f t="shared" si="6"/>
        <v>0</v>
      </c>
      <c r="AL15" s="213" t="s">
        <v>78</v>
      </c>
      <c r="AM15" s="107">
        <v>0</v>
      </c>
      <c r="AN15" s="18">
        <v>0</v>
      </c>
      <c r="AO15" s="25">
        <v>0</v>
      </c>
    </row>
    <row r="16" spans="1:42">
      <c r="A16" s="230" t="s">
        <v>42</v>
      </c>
      <c r="B16" s="226" t="s">
        <v>29</v>
      </c>
      <c r="C16" s="216">
        <f>'2.sz.Önkormányzat'!C15</f>
        <v>0</v>
      </c>
      <c r="D16" s="212">
        <f>'2.sz.Önkormányzat'!D15</f>
        <v>0</v>
      </c>
      <c r="E16" s="212">
        <f>'2.sz.Önkormányzat'!E15</f>
        <v>0</v>
      </c>
      <c r="F16" s="214" t="s">
        <v>78</v>
      </c>
      <c r="G16" s="216">
        <f>'2.sz.Önkormányzat'!G15</f>
        <v>0</v>
      </c>
      <c r="H16" s="212">
        <f>'2.sz.Önkormányzat'!H15</f>
        <v>0</v>
      </c>
      <c r="I16" s="212">
        <f>'2.sz.Önkormányzat'!I15</f>
        <v>635</v>
      </c>
      <c r="J16" s="213" t="s">
        <v>78</v>
      </c>
      <c r="K16" s="216">
        <f>'2.sz.Önkormányzat'!K15</f>
        <v>0</v>
      </c>
      <c r="L16" s="212">
        <f>'2.sz.Önkormányzat'!L15</f>
        <v>0</v>
      </c>
      <c r="M16" s="212">
        <f>'2.sz.Önkormányzat'!M15</f>
        <v>0</v>
      </c>
      <c r="N16" s="213" t="s">
        <v>78</v>
      </c>
      <c r="O16" s="216">
        <f>'2.sz.Önkormányzat'!O15</f>
        <v>103779</v>
      </c>
      <c r="P16" s="212">
        <f>'2.sz.Önkormányzat'!P15</f>
        <v>408935</v>
      </c>
      <c r="Q16" s="212">
        <f>'2.sz.Önkormányzat'!Q15</f>
        <v>385198</v>
      </c>
      <c r="R16" s="214">
        <f>'2.sz.Önkormányzat'!R15</f>
        <v>0.94195410028488635</v>
      </c>
      <c r="S16" s="216">
        <f t="shared" si="1"/>
        <v>103779</v>
      </c>
      <c r="T16" s="212">
        <f t="shared" si="2"/>
        <v>408935</v>
      </c>
      <c r="U16" s="212">
        <f t="shared" si="3"/>
        <v>385833</v>
      </c>
      <c r="V16" s="213">
        <f>'2.sz.Önkormányzat'!V15</f>
        <v>0.94350691430178391</v>
      </c>
      <c r="W16" s="216">
        <f>'2.sz.Önkormányzat'!W15</f>
        <v>0</v>
      </c>
      <c r="X16" s="212">
        <f>'2.sz.Önkormányzat'!X15</f>
        <v>53724</v>
      </c>
      <c r="Y16" s="212">
        <f>'2.sz.Önkormányzat'!Y15</f>
        <v>40471</v>
      </c>
      <c r="Z16" s="214">
        <f>'2.sz.Önkormányzat'!Z15</f>
        <v>0.75331323058595789</v>
      </c>
      <c r="AA16" s="216">
        <f>'2.sz.Önkormányzat'!AA15</f>
        <v>0</v>
      </c>
      <c r="AB16" s="212">
        <f>'2.sz.Önkormányzat'!AB15</f>
        <v>0</v>
      </c>
      <c r="AC16" s="212">
        <f>'2.sz.Önkormányzat'!AC15</f>
        <v>0</v>
      </c>
      <c r="AD16" s="217">
        <f>'2.sz.Önkormányzat'!AD15</f>
        <v>0</v>
      </c>
      <c r="AE16" s="216">
        <f>'2.sz.Önkormányzat'!AE15</f>
        <v>0</v>
      </c>
      <c r="AF16" s="212">
        <f>'2.sz.Önkormányzat'!AF15</f>
        <v>56725</v>
      </c>
      <c r="AG16" s="212">
        <f>'2.sz.Önkormányzat'!AG15</f>
        <v>58371</v>
      </c>
      <c r="AH16" s="214">
        <f>'2.sz.Önkormányzat'!AH15</f>
        <v>1.0290171881886294</v>
      </c>
      <c r="AI16" s="216">
        <f t="shared" si="4"/>
        <v>0</v>
      </c>
      <c r="AJ16" s="212">
        <f t="shared" si="5"/>
        <v>110449</v>
      </c>
      <c r="AK16" s="212">
        <f t="shared" si="6"/>
        <v>98842</v>
      </c>
      <c r="AL16" s="213">
        <f>'2.sz.Önkormányzat'!AL15</f>
        <v>0.89491077329808333</v>
      </c>
      <c r="AM16" s="107"/>
      <c r="AN16" s="18"/>
      <c r="AO16" s="25"/>
    </row>
    <row r="17" spans="1:41">
      <c r="A17" s="230" t="s">
        <v>42</v>
      </c>
      <c r="B17" s="226" t="s">
        <v>31</v>
      </c>
      <c r="C17" s="216">
        <f>'2.sz.Önkormányzat'!C16</f>
        <v>0</v>
      </c>
      <c r="D17" s="212">
        <f>'2.sz.Önkormányzat'!D16</f>
        <v>245</v>
      </c>
      <c r="E17" s="212">
        <f>'2.sz.Önkormányzat'!E16</f>
        <v>245</v>
      </c>
      <c r="F17" s="214">
        <f>'2.sz.Önkormányzat'!F16</f>
        <v>1</v>
      </c>
      <c r="G17" s="216">
        <f>'2.sz.Önkormányzat'!G16</f>
        <v>3566</v>
      </c>
      <c r="H17" s="212">
        <f>'2.sz.Önkormányzat'!H16</f>
        <v>3773</v>
      </c>
      <c r="I17" s="212">
        <f>'2.sz.Önkormányzat'!I16</f>
        <v>4926</v>
      </c>
      <c r="J17" s="213">
        <f>'2.sz.Önkormányzat'!J16</f>
        <v>1.3055923668168565</v>
      </c>
      <c r="K17" s="216">
        <f>'2.sz.Önkormányzat'!K16</f>
        <v>0</v>
      </c>
      <c r="L17" s="212">
        <f>'2.sz.Önkormányzat'!L16</f>
        <v>0</v>
      </c>
      <c r="M17" s="212">
        <f>'2.sz.Önkormányzat'!M16</f>
        <v>0</v>
      </c>
      <c r="N17" s="213" t="s">
        <v>78</v>
      </c>
      <c r="O17" s="216">
        <f>'2.sz.Önkormányzat'!O16</f>
        <v>0</v>
      </c>
      <c r="P17" s="212">
        <f>'2.sz.Önkormányzat'!P16</f>
        <v>0</v>
      </c>
      <c r="Q17" s="212">
        <f>'2.sz.Önkormányzat'!Q16</f>
        <v>0</v>
      </c>
      <c r="R17" s="214" t="s">
        <v>78</v>
      </c>
      <c r="S17" s="216">
        <f t="shared" si="1"/>
        <v>3566</v>
      </c>
      <c r="T17" s="212">
        <f t="shared" si="2"/>
        <v>4018</v>
      </c>
      <c r="U17" s="212">
        <f t="shared" si="3"/>
        <v>5171</v>
      </c>
      <c r="V17" s="213">
        <f>'2.sz.Önkormányzat'!V16</f>
        <v>1.2869586859133897</v>
      </c>
      <c r="W17" s="216">
        <f>'2.sz.Önkormányzat'!W16</f>
        <v>0</v>
      </c>
      <c r="X17" s="212">
        <f>'2.sz.Önkormányzat'!X16</f>
        <v>0</v>
      </c>
      <c r="Y17" s="212">
        <f>'2.sz.Önkormányzat'!Y16</f>
        <v>22</v>
      </c>
      <c r="Z17" s="214" t="s">
        <v>78</v>
      </c>
      <c r="AA17" s="216">
        <f>'2.sz.Önkormányzat'!AA16</f>
        <v>0</v>
      </c>
      <c r="AB17" s="212">
        <f>'2.sz.Önkormányzat'!AB16</f>
        <v>0</v>
      </c>
      <c r="AC17" s="212">
        <f>'2.sz.Önkormányzat'!AC16</f>
        <v>0</v>
      </c>
      <c r="AD17" s="217">
        <f>'2.sz.Önkormányzat'!AD16</f>
        <v>0</v>
      </c>
      <c r="AE17" s="216">
        <f>'2.sz.Önkormányzat'!AE16</f>
        <v>0</v>
      </c>
      <c r="AF17" s="212">
        <f>'2.sz.Önkormányzat'!AF16</f>
        <v>0</v>
      </c>
      <c r="AG17" s="212">
        <f>'2.sz.Önkormányzat'!AG16</f>
        <v>0</v>
      </c>
      <c r="AH17" s="214" t="s">
        <v>78</v>
      </c>
      <c r="AI17" s="216">
        <f t="shared" si="4"/>
        <v>0</v>
      </c>
      <c r="AJ17" s="212">
        <f t="shared" si="5"/>
        <v>0</v>
      </c>
      <c r="AK17" s="212">
        <f t="shared" si="6"/>
        <v>22</v>
      </c>
      <c r="AL17" s="213" t="s">
        <v>78</v>
      </c>
      <c r="AM17" s="107">
        <v>0</v>
      </c>
      <c r="AN17" s="18">
        <v>0</v>
      </c>
      <c r="AO17" s="25">
        <v>0</v>
      </c>
    </row>
    <row r="18" spans="1:41">
      <c r="A18" s="230" t="s">
        <v>43</v>
      </c>
      <c r="B18" s="226" t="s">
        <v>32</v>
      </c>
      <c r="C18" s="216">
        <f>'2.sz.Önkormányzat'!C17</f>
        <v>0</v>
      </c>
      <c r="D18" s="212">
        <f>'2.sz.Önkormányzat'!D17</f>
        <v>0</v>
      </c>
      <c r="E18" s="212">
        <f>'2.sz.Önkormányzat'!E17</f>
        <v>0</v>
      </c>
      <c r="F18" s="214" t="s">
        <v>78</v>
      </c>
      <c r="G18" s="216">
        <f>'2.sz.Önkormányzat'!G17</f>
        <v>12054</v>
      </c>
      <c r="H18" s="212">
        <f>'2.sz.Önkormányzat'!H17</f>
        <v>12054</v>
      </c>
      <c r="I18" s="212">
        <f>'2.sz.Önkormányzat'!I17</f>
        <v>3923</v>
      </c>
      <c r="J18" s="213">
        <f>'2.sz.Önkormányzat'!J17</f>
        <v>0.32545213207234114</v>
      </c>
      <c r="K18" s="216">
        <f>'2.sz.Önkormányzat'!K17</f>
        <v>0</v>
      </c>
      <c r="L18" s="212">
        <f>'2.sz.Önkormányzat'!L17</f>
        <v>2306</v>
      </c>
      <c r="M18" s="212">
        <f>'2.sz.Önkormányzat'!M17</f>
        <v>2306</v>
      </c>
      <c r="N18" s="213">
        <f>'2.sz.Önkormányzat'!N17</f>
        <v>1</v>
      </c>
      <c r="O18" s="216">
        <f>'2.sz.Önkormányzat'!O17</f>
        <v>0</v>
      </c>
      <c r="P18" s="212">
        <f>'2.sz.Önkormányzat'!P17</f>
        <v>0</v>
      </c>
      <c r="Q18" s="212">
        <f>'2.sz.Önkormányzat'!Q17</f>
        <v>2250</v>
      </c>
      <c r="R18" s="214" t="s">
        <v>78</v>
      </c>
      <c r="S18" s="216">
        <f t="shared" si="1"/>
        <v>12054</v>
      </c>
      <c r="T18" s="212">
        <f t="shared" si="2"/>
        <v>14360</v>
      </c>
      <c r="U18" s="212">
        <f t="shared" si="3"/>
        <v>8479</v>
      </c>
      <c r="V18" s="213">
        <f>'2.sz.Önkormányzat'!V17</f>
        <v>0.59045961002785519</v>
      </c>
      <c r="W18" s="216">
        <f>'2.sz.Önkormányzat'!W17</f>
        <v>0</v>
      </c>
      <c r="X18" s="212">
        <f>'2.sz.Önkormányzat'!X17</f>
        <v>0</v>
      </c>
      <c r="Y18" s="212">
        <f>'2.sz.Önkormányzat'!Y17</f>
        <v>0</v>
      </c>
      <c r="Z18" s="214" t="s">
        <v>78</v>
      </c>
      <c r="AA18" s="216">
        <f>'2.sz.Önkormányzat'!AA17</f>
        <v>0</v>
      </c>
      <c r="AB18" s="212">
        <f>'2.sz.Önkormányzat'!AB17</f>
        <v>0</v>
      </c>
      <c r="AC18" s="212">
        <f>'2.sz.Önkormányzat'!AC17</f>
        <v>0</v>
      </c>
      <c r="AD18" s="217">
        <f>'2.sz.Önkormányzat'!AD17</f>
        <v>0</v>
      </c>
      <c r="AE18" s="216">
        <f>'2.sz.Önkormányzat'!AE17</f>
        <v>0</v>
      </c>
      <c r="AF18" s="212">
        <f>'2.sz.Önkormányzat'!AF17</f>
        <v>0</v>
      </c>
      <c r="AG18" s="212">
        <f>'2.sz.Önkormányzat'!AG17</f>
        <v>0</v>
      </c>
      <c r="AH18" s="214" t="s">
        <v>78</v>
      </c>
      <c r="AI18" s="216">
        <f t="shared" si="4"/>
        <v>0</v>
      </c>
      <c r="AJ18" s="212">
        <f t="shared" si="5"/>
        <v>0</v>
      </c>
      <c r="AK18" s="212">
        <f t="shared" si="6"/>
        <v>0</v>
      </c>
      <c r="AL18" s="213" t="s">
        <v>78</v>
      </c>
      <c r="AM18" s="107">
        <v>0</v>
      </c>
      <c r="AN18" s="18">
        <v>0</v>
      </c>
      <c r="AO18" s="25">
        <v>0</v>
      </c>
    </row>
    <row r="19" spans="1:41">
      <c r="A19" s="230" t="s">
        <v>42</v>
      </c>
      <c r="B19" s="226" t="s">
        <v>8</v>
      </c>
      <c r="C19" s="216">
        <f>'2.sz.Önkormányzat'!C18</f>
        <v>0</v>
      </c>
      <c r="D19" s="212">
        <f>'2.sz.Önkormányzat'!D18</f>
        <v>0</v>
      </c>
      <c r="E19" s="212">
        <f>'2.sz.Önkormányzat'!E18</f>
        <v>0</v>
      </c>
      <c r="F19" s="214" t="s">
        <v>78</v>
      </c>
      <c r="G19" s="216">
        <f>'2.sz.Önkormányzat'!G18</f>
        <v>38610</v>
      </c>
      <c r="H19" s="212">
        <f>'2.sz.Önkormányzat'!H18</f>
        <v>45565</v>
      </c>
      <c r="I19" s="212">
        <f>'2.sz.Önkormányzat'!I18</f>
        <v>39257</v>
      </c>
      <c r="J19" s="213">
        <f>'2.sz.Önkormányzat'!J18</f>
        <v>0.86156040820805446</v>
      </c>
      <c r="K19" s="216">
        <f>'2.sz.Önkormányzat'!K18</f>
        <v>0</v>
      </c>
      <c r="L19" s="212">
        <f>'2.sz.Önkormányzat'!L18</f>
        <v>0</v>
      </c>
      <c r="M19" s="212">
        <f>'2.sz.Önkormányzat'!M18</f>
        <v>0</v>
      </c>
      <c r="N19" s="213" t="s">
        <v>78</v>
      </c>
      <c r="O19" s="216">
        <f>'2.sz.Önkormányzat'!O18</f>
        <v>0</v>
      </c>
      <c r="P19" s="212">
        <f>'2.sz.Önkormányzat'!P18</f>
        <v>0</v>
      </c>
      <c r="Q19" s="212">
        <f>'2.sz.Önkormányzat'!Q18</f>
        <v>0</v>
      </c>
      <c r="R19" s="214" t="s">
        <v>78</v>
      </c>
      <c r="S19" s="216">
        <f t="shared" si="1"/>
        <v>38610</v>
      </c>
      <c r="T19" s="212">
        <f t="shared" si="2"/>
        <v>45565</v>
      </c>
      <c r="U19" s="212">
        <f t="shared" si="3"/>
        <v>39257</v>
      </c>
      <c r="V19" s="213">
        <f>'2.sz.Önkormányzat'!V18</f>
        <v>0.86156040820805446</v>
      </c>
      <c r="W19" s="216">
        <f>'2.sz.Önkormányzat'!W18</f>
        <v>28742</v>
      </c>
      <c r="X19" s="212">
        <f>'2.sz.Önkormányzat'!X18</f>
        <v>0</v>
      </c>
      <c r="Y19" s="212">
        <f>'2.sz.Önkormányzat'!Y18</f>
        <v>0</v>
      </c>
      <c r="Z19" s="214" t="s">
        <v>78</v>
      </c>
      <c r="AA19" s="216">
        <f>'2.sz.Önkormányzat'!AA18</f>
        <v>47226</v>
      </c>
      <c r="AB19" s="212">
        <f>'2.sz.Önkormányzat'!AB18</f>
        <v>0</v>
      </c>
      <c r="AC19" s="212">
        <f>'2.sz.Önkormányzat'!AC18</f>
        <v>0</v>
      </c>
      <c r="AD19" s="217">
        <f>'2.sz.Önkormányzat'!AD18</f>
        <v>0</v>
      </c>
      <c r="AE19" s="216">
        <f>'2.sz.Önkormányzat'!AE18</f>
        <v>0</v>
      </c>
      <c r="AF19" s="212">
        <f>'2.sz.Önkormányzat'!AF18</f>
        <v>0</v>
      </c>
      <c r="AG19" s="212">
        <f>'2.sz.Önkormányzat'!AG18</f>
        <v>0</v>
      </c>
      <c r="AH19" s="214" t="s">
        <v>78</v>
      </c>
      <c r="AI19" s="216">
        <f t="shared" si="4"/>
        <v>75968</v>
      </c>
      <c r="AJ19" s="212">
        <f t="shared" si="5"/>
        <v>0</v>
      </c>
      <c r="AK19" s="212">
        <f t="shared" si="6"/>
        <v>0</v>
      </c>
      <c r="AL19" s="213" t="s">
        <v>78</v>
      </c>
      <c r="AM19" s="107">
        <v>0</v>
      </c>
      <c r="AN19" s="18">
        <v>0</v>
      </c>
      <c r="AO19" s="25">
        <v>0</v>
      </c>
    </row>
    <row r="20" spans="1:41">
      <c r="A20" s="230" t="s">
        <v>42</v>
      </c>
      <c r="B20" s="226" t="s">
        <v>9</v>
      </c>
      <c r="C20" s="216">
        <f>'2.sz.Önkormányzat'!C19</f>
        <v>184204</v>
      </c>
      <c r="D20" s="212">
        <f>'2.sz.Önkormányzat'!D19</f>
        <v>177195</v>
      </c>
      <c r="E20" s="212">
        <f>'2.sz.Önkormányzat'!E19</f>
        <v>152446</v>
      </c>
      <c r="F20" s="214">
        <f>'2.sz.Önkormányzat'!F19</f>
        <v>0.86032901605575773</v>
      </c>
      <c r="G20" s="216">
        <f>'2.sz.Önkormányzat'!G19</f>
        <v>24077</v>
      </c>
      <c r="H20" s="212">
        <f>'2.sz.Önkormányzat'!H19</f>
        <v>19686</v>
      </c>
      <c r="I20" s="212">
        <f>'2.sz.Önkormányzat'!I19</f>
        <v>22631</v>
      </c>
      <c r="J20" s="213">
        <f>'2.sz.Önkormányzat'!J19</f>
        <v>1.1495986995834604</v>
      </c>
      <c r="K20" s="216">
        <f>'2.sz.Önkormányzat'!K19</f>
        <v>19500</v>
      </c>
      <c r="L20" s="212">
        <f>'2.sz.Önkormányzat'!L19</f>
        <v>19000</v>
      </c>
      <c r="M20" s="212">
        <f>'2.sz.Önkormányzat'!M19</f>
        <v>12194</v>
      </c>
      <c r="N20" s="213">
        <f>'2.sz.Önkormányzat'!N19</f>
        <v>0.64178947368421058</v>
      </c>
      <c r="O20" s="216">
        <f>'2.sz.Önkormányzat'!O19</f>
        <v>0</v>
      </c>
      <c r="P20" s="212">
        <f>'2.sz.Önkormányzat'!P19</f>
        <v>0</v>
      </c>
      <c r="Q20" s="212">
        <f>'2.sz.Önkormányzat'!Q19</f>
        <v>0</v>
      </c>
      <c r="R20" s="214" t="s">
        <v>78</v>
      </c>
      <c r="S20" s="216">
        <f t="shared" si="1"/>
        <v>227781</v>
      </c>
      <c r="T20" s="212">
        <f t="shared" si="2"/>
        <v>215881</v>
      </c>
      <c r="U20" s="212">
        <f t="shared" si="3"/>
        <v>187271</v>
      </c>
      <c r="V20" s="213">
        <f>'2.sz.Önkormányzat'!V19</f>
        <v>0.86747328389251488</v>
      </c>
      <c r="W20" s="216">
        <f>'2.sz.Önkormányzat'!W19</f>
        <v>221245</v>
      </c>
      <c r="X20" s="212">
        <f>'2.sz.Önkormányzat'!X19</f>
        <v>163514</v>
      </c>
      <c r="Y20" s="212">
        <f>'2.sz.Önkormányzat'!Y19</f>
        <v>160554</v>
      </c>
      <c r="Z20" s="214">
        <f>'2.sz.Önkormányzat'!Z19</f>
        <v>0.98189757451961301</v>
      </c>
      <c r="AA20" s="216">
        <f>'2.sz.Önkormányzat'!AA19</f>
        <v>0</v>
      </c>
      <c r="AB20" s="212">
        <f>'2.sz.Önkormányzat'!AB19</f>
        <v>0</v>
      </c>
      <c r="AC20" s="212">
        <f>'2.sz.Önkormányzat'!AC19</f>
        <v>0</v>
      </c>
      <c r="AD20" s="217">
        <f>'2.sz.Önkormányzat'!AD19</f>
        <v>0</v>
      </c>
      <c r="AE20" s="216">
        <f>'2.sz.Önkormányzat'!AE19</f>
        <v>0</v>
      </c>
      <c r="AF20" s="212">
        <f>'2.sz.Önkormányzat'!AF19</f>
        <v>0</v>
      </c>
      <c r="AG20" s="212">
        <f>'2.sz.Önkormányzat'!AG19</f>
        <v>0</v>
      </c>
      <c r="AH20" s="214" t="s">
        <v>78</v>
      </c>
      <c r="AI20" s="216">
        <f t="shared" si="4"/>
        <v>221245</v>
      </c>
      <c r="AJ20" s="212">
        <f t="shared" si="5"/>
        <v>163514</v>
      </c>
      <c r="AK20" s="212">
        <f t="shared" si="6"/>
        <v>160554</v>
      </c>
      <c r="AL20" s="213">
        <f>'2.sz.Önkormányzat'!AL19</f>
        <v>0.98189757451961301</v>
      </c>
      <c r="AM20" s="107">
        <v>0</v>
      </c>
      <c r="AN20" s="18">
        <v>0</v>
      </c>
      <c r="AO20" s="25"/>
    </row>
    <row r="21" spans="1:41">
      <c r="A21" s="230" t="s">
        <v>43</v>
      </c>
      <c r="B21" s="226" t="s">
        <v>10</v>
      </c>
      <c r="C21" s="216">
        <f>'2.sz.Önkormányzat'!C20</f>
        <v>0</v>
      </c>
      <c r="D21" s="212">
        <f>'2.sz.Önkormányzat'!D20</f>
        <v>0</v>
      </c>
      <c r="E21" s="212">
        <f>'2.sz.Önkormányzat'!E20</f>
        <v>0</v>
      </c>
      <c r="F21" s="214" t="s">
        <v>78</v>
      </c>
      <c r="G21" s="216">
        <f>'2.sz.Önkormányzat'!G20</f>
        <v>0</v>
      </c>
      <c r="H21" s="212">
        <f>'2.sz.Önkormányzat'!H20</f>
        <v>9297</v>
      </c>
      <c r="I21" s="212">
        <f>'2.sz.Önkormányzat'!I20</f>
        <v>11131</v>
      </c>
      <c r="J21" s="213">
        <f>'2.sz.Önkormányzat'!J20</f>
        <v>1.1972679358932989</v>
      </c>
      <c r="K21" s="216">
        <f>'2.sz.Önkormányzat'!K20</f>
        <v>18264</v>
      </c>
      <c r="L21" s="212">
        <f>'2.sz.Önkormányzat'!L20</f>
        <v>36003</v>
      </c>
      <c r="M21" s="212">
        <f>'2.sz.Önkormányzat'!M20</f>
        <v>40314</v>
      </c>
      <c r="N21" s="213">
        <f>'2.sz.Önkormányzat'!N20</f>
        <v>1.1197400216648612</v>
      </c>
      <c r="O21" s="216">
        <f>'2.sz.Önkormányzat'!O20</f>
        <v>0</v>
      </c>
      <c r="P21" s="212">
        <f>'2.sz.Önkormányzat'!P20</f>
        <v>0</v>
      </c>
      <c r="Q21" s="212">
        <f>'2.sz.Önkormányzat'!Q20</f>
        <v>0</v>
      </c>
      <c r="R21" s="214" t="s">
        <v>78</v>
      </c>
      <c r="S21" s="216">
        <f t="shared" si="1"/>
        <v>18264</v>
      </c>
      <c r="T21" s="212">
        <f t="shared" si="2"/>
        <v>45300</v>
      </c>
      <c r="U21" s="212">
        <f t="shared" si="3"/>
        <v>51445</v>
      </c>
      <c r="V21" s="213">
        <f>'2.sz.Önkormányzat'!V20</f>
        <v>1.1356512141280353</v>
      </c>
      <c r="W21" s="216">
        <f>'2.sz.Önkormányzat'!W20</f>
        <v>15400</v>
      </c>
      <c r="X21" s="212">
        <f>'2.sz.Önkormányzat'!X20</f>
        <v>61400</v>
      </c>
      <c r="Y21" s="212">
        <f>'2.sz.Önkormányzat'!Y20</f>
        <v>46966</v>
      </c>
      <c r="Z21" s="214">
        <f>'2.sz.Önkormányzat'!Z20</f>
        <v>0.76491856677524428</v>
      </c>
      <c r="AA21" s="216">
        <f>'2.sz.Önkormányzat'!AA20</f>
        <v>0</v>
      </c>
      <c r="AB21" s="212">
        <f>'2.sz.Önkormányzat'!AB20</f>
        <v>0</v>
      </c>
      <c r="AC21" s="212">
        <f>'2.sz.Önkormányzat'!AC20</f>
        <v>0</v>
      </c>
      <c r="AD21" s="217">
        <f>'2.sz.Önkormányzat'!AD20</f>
        <v>0</v>
      </c>
      <c r="AE21" s="216">
        <f>'2.sz.Önkormányzat'!AE20</f>
        <v>0</v>
      </c>
      <c r="AF21" s="212">
        <f>'2.sz.Önkormányzat'!AF20</f>
        <v>0</v>
      </c>
      <c r="AG21" s="212">
        <f>'2.sz.Önkormányzat'!AG20</f>
        <v>0</v>
      </c>
      <c r="AH21" s="214" t="s">
        <v>78</v>
      </c>
      <c r="AI21" s="216">
        <f t="shared" si="4"/>
        <v>15400</v>
      </c>
      <c r="AJ21" s="212">
        <f t="shared" si="5"/>
        <v>61400</v>
      </c>
      <c r="AK21" s="212">
        <f t="shared" si="6"/>
        <v>46966</v>
      </c>
      <c r="AL21" s="213">
        <f>'2.sz.Önkormányzat'!AL20</f>
        <v>0.76491856677524428</v>
      </c>
      <c r="AM21" s="107">
        <v>0</v>
      </c>
      <c r="AN21" s="18">
        <v>0</v>
      </c>
      <c r="AO21" s="25">
        <v>0</v>
      </c>
    </row>
    <row r="22" spans="1:41">
      <c r="A22" s="230" t="s">
        <v>42</v>
      </c>
      <c r="B22" s="232" t="s">
        <v>33</v>
      </c>
      <c r="C22" s="216">
        <f>'2.sz.Önkormányzat'!C21</f>
        <v>7146</v>
      </c>
      <c r="D22" s="212">
        <f>'2.sz.Önkormányzat'!D21</f>
        <v>7943</v>
      </c>
      <c r="E22" s="212">
        <f>'2.sz.Önkormányzat'!E21</f>
        <v>8081</v>
      </c>
      <c r="F22" s="214">
        <f>'2.sz.Önkormányzat'!F21</f>
        <v>1.0173737882412186</v>
      </c>
      <c r="G22" s="216">
        <f>'2.sz.Önkormányzat'!G21</f>
        <v>1673</v>
      </c>
      <c r="H22" s="212">
        <f>'2.sz.Önkormányzat'!H21</f>
        <v>1756</v>
      </c>
      <c r="I22" s="212">
        <f>'2.sz.Önkormányzat'!I21</f>
        <v>1468</v>
      </c>
      <c r="J22" s="213">
        <f>'2.sz.Önkormányzat'!J21</f>
        <v>0.83599088838268798</v>
      </c>
      <c r="K22" s="216">
        <f>'2.sz.Önkormányzat'!K21</f>
        <v>0</v>
      </c>
      <c r="L22" s="212">
        <f>'2.sz.Önkormányzat'!L21</f>
        <v>0</v>
      </c>
      <c r="M22" s="212">
        <f>'2.sz.Önkormányzat'!M21</f>
        <v>13</v>
      </c>
      <c r="N22" s="213" t="s">
        <v>78</v>
      </c>
      <c r="O22" s="216">
        <f>'2.sz.Önkormányzat'!O21</f>
        <v>0</v>
      </c>
      <c r="P22" s="212">
        <f>'2.sz.Önkormányzat'!P21</f>
        <v>0</v>
      </c>
      <c r="Q22" s="212">
        <f>'2.sz.Önkormányzat'!Q21</f>
        <v>0</v>
      </c>
      <c r="R22" s="214" t="s">
        <v>78</v>
      </c>
      <c r="S22" s="216">
        <f t="shared" si="1"/>
        <v>8819</v>
      </c>
      <c r="T22" s="212">
        <f t="shared" si="2"/>
        <v>9699</v>
      </c>
      <c r="U22" s="212">
        <f t="shared" si="3"/>
        <v>9562</v>
      </c>
      <c r="V22" s="213">
        <f>'2.sz.Önkormányzat'!V21</f>
        <v>0.98587483245695429</v>
      </c>
      <c r="W22" s="216">
        <f>'2.sz.Önkormányzat'!W21</f>
        <v>6000</v>
      </c>
      <c r="X22" s="212">
        <f>'2.sz.Önkormányzat'!X21</f>
        <v>5500</v>
      </c>
      <c r="Y22" s="212">
        <f>'2.sz.Önkormányzat'!Y21</f>
        <v>5567</v>
      </c>
      <c r="Z22" s="214">
        <f>'2.sz.Önkormányzat'!Z21</f>
        <v>1.0121818181818181</v>
      </c>
      <c r="AA22" s="216">
        <f>'2.sz.Önkormányzat'!AA21</f>
        <v>0</v>
      </c>
      <c r="AB22" s="212">
        <f>'2.sz.Önkormányzat'!AB21</f>
        <v>0</v>
      </c>
      <c r="AC22" s="212">
        <f>'2.sz.Önkormányzat'!AC21</f>
        <v>0</v>
      </c>
      <c r="AD22" s="217">
        <f>'2.sz.Önkormányzat'!AD21</f>
        <v>0</v>
      </c>
      <c r="AE22" s="216">
        <f>'2.sz.Önkormányzat'!AE21</f>
        <v>2819</v>
      </c>
      <c r="AF22" s="212">
        <f>'2.sz.Önkormányzat'!AF21</f>
        <v>0</v>
      </c>
      <c r="AG22" s="212">
        <f>'2.sz.Önkormányzat'!AG21</f>
        <v>0</v>
      </c>
      <c r="AH22" s="214" t="s">
        <v>78</v>
      </c>
      <c r="AI22" s="216">
        <f t="shared" si="4"/>
        <v>8819</v>
      </c>
      <c r="AJ22" s="212">
        <f t="shared" si="5"/>
        <v>5500</v>
      </c>
      <c r="AK22" s="212">
        <f t="shared" si="6"/>
        <v>5567</v>
      </c>
      <c r="AL22" s="213">
        <f>'2.sz.Önkormányzat'!AL21</f>
        <v>1.0121818181818181</v>
      </c>
      <c r="AM22" s="107">
        <v>3</v>
      </c>
      <c r="AN22" s="18">
        <v>0</v>
      </c>
      <c r="AO22" s="25">
        <v>0</v>
      </c>
    </row>
    <row r="23" spans="1:41">
      <c r="A23" s="230" t="s">
        <v>42</v>
      </c>
      <c r="B23" s="232" t="s">
        <v>34</v>
      </c>
      <c r="C23" s="216">
        <f>'2.sz.Önkormányzat'!C22</f>
        <v>6873</v>
      </c>
      <c r="D23" s="212">
        <f>'2.sz.Önkormányzat'!D22</f>
        <v>7446</v>
      </c>
      <c r="E23" s="212">
        <f>'2.sz.Önkormányzat'!E22</f>
        <v>7623</v>
      </c>
      <c r="F23" s="214">
        <f>'2.sz.Önkormányzat'!F22</f>
        <v>1.0237711522965351</v>
      </c>
      <c r="G23" s="216">
        <f>'2.sz.Önkormányzat'!G22</f>
        <v>1610</v>
      </c>
      <c r="H23" s="212">
        <f>'2.sz.Önkormányzat'!H22</f>
        <v>1610</v>
      </c>
      <c r="I23" s="212">
        <f>'2.sz.Önkormányzat'!I22</f>
        <v>831</v>
      </c>
      <c r="J23" s="213">
        <f>'2.sz.Önkormányzat'!J22</f>
        <v>0.51614906832298135</v>
      </c>
      <c r="K23" s="216">
        <f>'2.sz.Önkormányzat'!K22</f>
        <v>0</v>
      </c>
      <c r="L23" s="212">
        <f>'2.sz.Önkormányzat'!L22</f>
        <v>0</v>
      </c>
      <c r="M23" s="212">
        <f>'2.sz.Önkormányzat'!M22</f>
        <v>80</v>
      </c>
      <c r="N23" s="213" t="s">
        <v>78</v>
      </c>
      <c r="O23" s="216">
        <f>'2.sz.Önkormányzat'!O22</f>
        <v>0</v>
      </c>
      <c r="P23" s="212">
        <f>'2.sz.Önkormányzat'!P22</f>
        <v>0</v>
      </c>
      <c r="Q23" s="212">
        <f>'2.sz.Önkormányzat'!Q22</f>
        <v>0</v>
      </c>
      <c r="R23" s="214" t="s">
        <v>78</v>
      </c>
      <c r="S23" s="216">
        <f t="shared" si="1"/>
        <v>8483</v>
      </c>
      <c r="T23" s="212">
        <f t="shared" si="2"/>
        <v>9056</v>
      </c>
      <c r="U23" s="212">
        <f t="shared" si="3"/>
        <v>8534</v>
      </c>
      <c r="V23" s="213">
        <f>'2.sz.Önkormányzat'!V22</f>
        <v>0.94235865724381629</v>
      </c>
      <c r="W23" s="216">
        <f>'2.sz.Önkormányzat'!W22</f>
        <v>8184</v>
      </c>
      <c r="X23" s="212">
        <f>'2.sz.Önkormányzat'!X22</f>
        <v>9000</v>
      </c>
      <c r="Y23" s="212">
        <f>'2.sz.Önkormányzat'!Y22</f>
        <v>9074</v>
      </c>
      <c r="Z23" s="214">
        <f>'2.sz.Önkormányzat'!Z22</f>
        <v>1.0082222222222221</v>
      </c>
      <c r="AA23" s="216">
        <f>'2.sz.Önkormányzat'!AA22</f>
        <v>0</v>
      </c>
      <c r="AB23" s="212">
        <f>'2.sz.Önkormányzat'!AB22</f>
        <v>0</v>
      </c>
      <c r="AC23" s="212">
        <f>'2.sz.Önkormányzat'!AC22</f>
        <v>0</v>
      </c>
      <c r="AD23" s="217">
        <f>'2.sz.Önkormányzat'!AD22</f>
        <v>0</v>
      </c>
      <c r="AE23" s="216">
        <f>'2.sz.Önkormányzat'!AE22</f>
        <v>299</v>
      </c>
      <c r="AF23" s="212">
        <f>'2.sz.Önkormányzat'!AF22</f>
        <v>0</v>
      </c>
      <c r="AG23" s="212">
        <f>'2.sz.Önkormányzat'!AG22</f>
        <v>0</v>
      </c>
      <c r="AH23" s="214" t="s">
        <v>78</v>
      </c>
      <c r="AI23" s="216">
        <f t="shared" si="4"/>
        <v>8483</v>
      </c>
      <c r="AJ23" s="212">
        <f t="shared" si="5"/>
        <v>9000</v>
      </c>
      <c r="AK23" s="212">
        <f t="shared" si="6"/>
        <v>9074</v>
      </c>
      <c r="AL23" s="213">
        <f>'2.sz.Önkormányzat'!AL22</f>
        <v>1.0082222222222221</v>
      </c>
      <c r="AM23" s="107">
        <v>2</v>
      </c>
      <c r="AN23" s="18">
        <v>0</v>
      </c>
      <c r="AO23" s="25">
        <v>0</v>
      </c>
    </row>
    <row r="24" spans="1:41" ht="17.25" customHeight="1">
      <c r="A24" s="230" t="s">
        <v>43</v>
      </c>
      <c r="B24" s="226" t="s">
        <v>44</v>
      </c>
      <c r="C24" s="216">
        <f>'2.sz.Önkormányzat'!C23</f>
        <v>0</v>
      </c>
      <c r="D24" s="212">
        <f>'2.sz.Önkormányzat'!D23</f>
        <v>0</v>
      </c>
      <c r="E24" s="212">
        <f>'2.sz.Önkormányzat'!E23</f>
        <v>0</v>
      </c>
      <c r="F24" s="214" t="s">
        <v>78</v>
      </c>
      <c r="G24" s="216">
        <f>'2.sz.Önkormányzat'!G23</f>
        <v>16205</v>
      </c>
      <c r="H24" s="212">
        <f>'2.sz.Önkormányzat'!H23</f>
        <v>0</v>
      </c>
      <c r="I24" s="212">
        <f>'2.sz.Önkormányzat'!I23</f>
        <v>0</v>
      </c>
      <c r="J24" s="213" t="s">
        <v>78</v>
      </c>
      <c r="K24" s="216">
        <f>'2.sz.Önkormányzat'!K23</f>
        <v>0</v>
      </c>
      <c r="L24" s="212">
        <f>'2.sz.Önkormányzat'!L23</f>
        <v>0</v>
      </c>
      <c r="M24" s="212">
        <f>'2.sz.Önkormányzat'!M23</f>
        <v>0</v>
      </c>
      <c r="N24" s="213" t="s">
        <v>78</v>
      </c>
      <c r="O24" s="216">
        <f>'2.sz.Önkormányzat'!O23</f>
        <v>0</v>
      </c>
      <c r="P24" s="212">
        <f>'2.sz.Önkormányzat'!P23</f>
        <v>0</v>
      </c>
      <c r="Q24" s="212">
        <f>'2.sz.Önkormányzat'!Q23</f>
        <v>0</v>
      </c>
      <c r="R24" s="214" t="s">
        <v>78</v>
      </c>
      <c r="S24" s="216">
        <f>'2.sz.Önkormányzat'!S23</f>
        <v>16205</v>
      </c>
      <c r="T24" s="212">
        <f>'2.sz.Önkormányzat'!T23</f>
        <v>0</v>
      </c>
      <c r="U24" s="212">
        <f>'2.sz.Önkormányzat'!U23</f>
        <v>0</v>
      </c>
      <c r="V24" s="213" t="s">
        <v>78</v>
      </c>
      <c r="W24" s="216">
        <f>'2.sz.Önkormányzat'!W23</f>
        <v>0</v>
      </c>
      <c r="X24" s="212">
        <f>'2.sz.Önkormányzat'!X23</f>
        <v>0</v>
      </c>
      <c r="Y24" s="212">
        <f>'2.sz.Önkormányzat'!Y23</f>
        <v>0</v>
      </c>
      <c r="Z24" s="214" t="s">
        <v>78</v>
      </c>
      <c r="AA24" s="216">
        <f>'2.sz.Önkormányzat'!AA23</f>
        <v>1800</v>
      </c>
      <c r="AB24" s="212">
        <f>'2.sz.Önkormányzat'!AB23</f>
        <v>0</v>
      </c>
      <c r="AC24" s="212">
        <f>'2.sz.Önkormányzat'!AC23</f>
        <v>0</v>
      </c>
      <c r="AD24" s="217">
        <f>'2.sz.Önkormányzat'!AD23</f>
        <v>0</v>
      </c>
      <c r="AE24" s="216">
        <f>'2.sz.Önkormányzat'!AE23</f>
        <v>14405</v>
      </c>
      <c r="AF24" s="212">
        <f>'2.sz.Önkormányzat'!AF23</f>
        <v>0</v>
      </c>
      <c r="AG24" s="212">
        <f>'2.sz.Önkormányzat'!AG23</f>
        <v>0</v>
      </c>
      <c r="AH24" s="214" t="s">
        <v>78</v>
      </c>
      <c r="AI24" s="216">
        <f>'2.sz.Önkormányzat'!AI23</f>
        <v>16205</v>
      </c>
      <c r="AJ24" s="212">
        <f>'2.sz.Önkormányzat'!AJ23</f>
        <v>0</v>
      </c>
      <c r="AK24" s="212">
        <f>'2.sz.Önkormányzat'!AK23</f>
        <v>0</v>
      </c>
      <c r="AL24" s="213" t="s">
        <v>78</v>
      </c>
      <c r="AM24" s="107">
        <v>0</v>
      </c>
      <c r="AN24" s="18">
        <v>0</v>
      </c>
      <c r="AO24" s="25">
        <v>0</v>
      </c>
    </row>
    <row r="25" spans="1:41" ht="17.25" customHeight="1">
      <c r="A25" s="230" t="s">
        <v>42</v>
      </c>
      <c r="B25" s="226" t="s">
        <v>114</v>
      </c>
      <c r="C25" s="216">
        <f>'2.sz.Önkormányzat'!C24</f>
        <v>0</v>
      </c>
      <c r="D25" s="212">
        <f>'2.sz.Önkormányzat'!D24</f>
        <v>12263</v>
      </c>
      <c r="E25" s="212">
        <f>'2.sz.Önkormányzat'!E24</f>
        <v>12263</v>
      </c>
      <c r="F25" s="214">
        <f>'2.sz.Önkormányzat'!F24</f>
        <v>1</v>
      </c>
      <c r="G25" s="216">
        <f>'2.sz.Önkormányzat'!G24</f>
        <v>0</v>
      </c>
      <c r="H25" s="212">
        <f>'2.sz.Önkormányzat'!H24</f>
        <v>0</v>
      </c>
      <c r="I25" s="212">
        <f>'2.sz.Önkormányzat'!I24</f>
        <v>0</v>
      </c>
      <c r="J25" s="213" t="s">
        <v>78</v>
      </c>
      <c r="K25" s="216">
        <f>'2.sz.Önkormányzat'!K24</f>
        <v>0</v>
      </c>
      <c r="L25" s="212">
        <f>'2.sz.Önkormányzat'!L24</f>
        <v>0</v>
      </c>
      <c r="M25" s="212">
        <f>'2.sz.Önkormányzat'!M24</f>
        <v>0</v>
      </c>
      <c r="N25" s="213" t="s">
        <v>78</v>
      </c>
      <c r="O25" s="216">
        <f>'2.sz.Önkormányzat'!O24</f>
        <v>0</v>
      </c>
      <c r="P25" s="212">
        <f>'2.sz.Önkormányzat'!P24</f>
        <v>0</v>
      </c>
      <c r="Q25" s="212">
        <f>'2.sz.Önkormányzat'!Q24</f>
        <v>0</v>
      </c>
      <c r="R25" s="214" t="s">
        <v>78</v>
      </c>
      <c r="S25" s="216">
        <f>'2.sz.Önkormányzat'!S24</f>
        <v>0</v>
      </c>
      <c r="T25" s="212">
        <f>'2.sz.Önkormányzat'!T24</f>
        <v>12263</v>
      </c>
      <c r="U25" s="212">
        <f>'2.sz.Önkormányzat'!U24</f>
        <v>12263</v>
      </c>
      <c r="V25" s="213">
        <f>'2.sz.Önkormányzat'!V24</f>
        <v>1</v>
      </c>
      <c r="W25" s="216">
        <f>'2.sz.Önkormányzat'!W24</f>
        <v>0</v>
      </c>
      <c r="X25" s="212">
        <f>'2.sz.Önkormányzat'!X24</f>
        <v>0</v>
      </c>
      <c r="Y25" s="212">
        <f>'2.sz.Önkormányzat'!Y24</f>
        <v>0</v>
      </c>
      <c r="Z25" s="214" t="s">
        <v>78</v>
      </c>
      <c r="AA25" s="216">
        <f>'2.sz.Önkormányzat'!AA24</f>
        <v>0</v>
      </c>
      <c r="AB25" s="212">
        <f>'2.sz.Önkormányzat'!AB24</f>
        <v>0</v>
      </c>
      <c r="AC25" s="212">
        <f>'2.sz.Önkormányzat'!AC24</f>
        <v>0</v>
      </c>
      <c r="AD25" s="217">
        <f>'2.sz.Önkormányzat'!AD24</f>
        <v>0</v>
      </c>
      <c r="AE25" s="216">
        <f>'2.sz.Önkormányzat'!AE24</f>
        <v>0</v>
      </c>
      <c r="AF25" s="212">
        <f>'2.sz.Önkormányzat'!AF24</f>
        <v>0</v>
      </c>
      <c r="AG25" s="212">
        <f>'2.sz.Önkormányzat'!AG24</f>
        <v>0</v>
      </c>
      <c r="AH25" s="214" t="s">
        <v>78</v>
      </c>
      <c r="AI25" s="216">
        <f>'2.sz.Önkormányzat'!AI24</f>
        <v>0</v>
      </c>
      <c r="AJ25" s="212">
        <f>'2.sz.Önkormányzat'!AJ24</f>
        <v>0</v>
      </c>
      <c r="AK25" s="212">
        <f>'2.sz.Önkormányzat'!AK24</f>
        <v>0</v>
      </c>
      <c r="AL25" s="213" t="s">
        <v>78</v>
      </c>
      <c r="AM25" s="107"/>
      <c r="AN25" s="18"/>
      <c r="AO25" s="25"/>
    </row>
    <row r="26" spans="1:41" ht="17.25" customHeight="1">
      <c r="A26" s="230" t="s">
        <v>42</v>
      </c>
      <c r="B26" s="226" t="s">
        <v>117</v>
      </c>
      <c r="C26" s="216">
        <f>'2.sz.Önkormányzat'!C25</f>
        <v>0</v>
      </c>
      <c r="D26" s="212">
        <f>'2.sz.Önkormányzat'!D25</f>
        <v>0</v>
      </c>
      <c r="E26" s="212">
        <f>'2.sz.Önkormányzat'!E25</f>
        <v>0</v>
      </c>
      <c r="F26" s="214" t="s">
        <v>78</v>
      </c>
      <c r="G26" s="216">
        <f>'2.sz.Önkormányzat'!G25</f>
        <v>0</v>
      </c>
      <c r="H26" s="212">
        <f>'2.sz.Önkormányzat'!H25</f>
        <v>486</v>
      </c>
      <c r="I26" s="212">
        <f>'2.sz.Önkormányzat'!I25</f>
        <v>706</v>
      </c>
      <c r="J26" s="213">
        <f>'2.sz.Önkormányzat'!J25</f>
        <v>1.4526748971193415</v>
      </c>
      <c r="K26" s="216">
        <f>'2.sz.Önkormányzat'!K25</f>
        <v>0</v>
      </c>
      <c r="L26" s="212">
        <f>'2.sz.Önkormányzat'!L25</f>
        <v>1927</v>
      </c>
      <c r="M26" s="212">
        <f>'2.sz.Önkormányzat'!M25</f>
        <v>1927</v>
      </c>
      <c r="N26" s="213">
        <f>'2.sz.Önkormányzat'!N25</f>
        <v>1</v>
      </c>
      <c r="O26" s="216">
        <f>'2.sz.Önkormányzat'!O25</f>
        <v>0</v>
      </c>
      <c r="P26" s="212">
        <f>'2.sz.Önkormányzat'!P25</f>
        <v>0</v>
      </c>
      <c r="Q26" s="212">
        <f>'2.sz.Önkormányzat'!Q25</f>
        <v>0</v>
      </c>
      <c r="R26" s="214" t="s">
        <v>78</v>
      </c>
      <c r="S26" s="216">
        <f>'2.sz.Önkormányzat'!S25</f>
        <v>0</v>
      </c>
      <c r="T26" s="212">
        <f>'2.sz.Önkormányzat'!T25</f>
        <v>2413</v>
      </c>
      <c r="U26" s="212">
        <f>'2.sz.Önkormányzat'!U25</f>
        <v>2633</v>
      </c>
      <c r="V26" s="213">
        <f>'2.sz.Önkormányzat'!V25</f>
        <v>1.0911728139245753</v>
      </c>
      <c r="W26" s="216">
        <f>'2.sz.Önkormányzat'!W25</f>
        <v>0</v>
      </c>
      <c r="X26" s="212">
        <f>'2.sz.Önkormányzat'!X25</f>
        <v>0</v>
      </c>
      <c r="Y26" s="212">
        <f>'2.sz.Önkormányzat'!Y25</f>
        <v>407</v>
      </c>
      <c r="Z26" s="214" t="s">
        <v>78</v>
      </c>
      <c r="AA26" s="216">
        <f>'2.sz.Önkormányzat'!AA25</f>
        <v>0</v>
      </c>
      <c r="AB26" s="212">
        <f>'2.sz.Önkormányzat'!AB25</f>
        <v>0</v>
      </c>
      <c r="AC26" s="212">
        <f>'2.sz.Önkormányzat'!AC25</f>
        <v>0</v>
      </c>
      <c r="AD26" s="217">
        <f>'2.sz.Önkormányzat'!AD25</f>
        <v>0</v>
      </c>
      <c r="AE26" s="216">
        <f>'2.sz.Önkormányzat'!AE25</f>
        <v>0</v>
      </c>
      <c r="AF26" s="212">
        <f>'2.sz.Önkormányzat'!AF25</f>
        <v>0</v>
      </c>
      <c r="AG26" s="212">
        <f>'2.sz.Önkormányzat'!AG25</f>
        <v>0</v>
      </c>
      <c r="AH26" s="214" t="s">
        <v>78</v>
      </c>
      <c r="AI26" s="216">
        <f>'2.sz.Önkormányzat'!AI25</f>
        <v>0</v>
      </c>
      <c r="AJ26" s="212">
        <f>'2.sz.Önkormányzat'!AJ25</f>
        <v>0</v>
      </c>
      <c r="AK26" s="212">
        <f>'2.sz.Önkormányzat'!AK25</f>
        <v>407</v>
      </c>
      <c r="AL26" s="213" t="s">
        <v>78</v>
      </c>
      <c r="AM26" s="107"/>
      <c r="AN26" s="18"/>
      <c r="AO26" s="25"/>
    </row>
    <row r="27" spans="1:41" ht="17.25" customHeight="1">
      <c r="A27" s="230" t="s">
        <v>43</v>
      </c>
      <c r="B27" s="226" t="s">
        <v>118</v>
      </c>
      <c r="C27" s="216">
        <f>'2.sz.Önkormányzat'!C26</f>
        <v>0</v>
      </c>
      <c r="D27" s="212">
        <f>'2.sz.Önkormányzat'!D26</f>
        <v>0</v>
      </c>
      <c r="E27" s="212">
        <f>'2.sz.Önkormányzat'!E26</f>
        <v>0</v>
      </c>
      <c r="F27" s="214" t="s">
        <v>78</v>
      </c>
      <c r="G27" s="216">
        <f>'2.sz.Önkormányzat'!G26</f>
        <v>0</v>
      </c>
      <c r="H27" s="212">
        <f>'2.sz.Önkormányzat'!H26</f>
        <v>0</v>
      </c>
      <c r="I27" s="212">
        <f>'2.sz.Önkormányzat'!I26</f>
        <v>493</v>
      </c>
      <c r="J27" s="213" t="s">
        <v>78</v>
      </c>
      <c r="K27" s="216">
        <f>'2.sz.Önkormányzat'!K26</f>
        <v>0</v>
      </c>
      <c r="L27" s="212">
        <f>'2.sz.Önkormányzat'!L26</f>
        <v>116</v>
      </c>
      <c r="M27" s="212">
        <f>'2.sz.Önkormányzat'!M26</f>
        <v>116</v>
      </c>
      <c r="N27" s="213">
        <f>'2.sz.Önkormányzat'!N26</f>
        <v>1</v>
      </c>
      <c r="O27" s="216">
        <f>'2.sz.Önkormányzat'!O26</f>
        <v>0</v>
      </c>
      <c r="P27" s="212">
        <f>'2.sz.Önkormányzat'!P26</f>
        <v>0</v>
      </c>
      <c r="Q27" s="212">
        <f>'2.sz.Önkormányzat'!Q26</f>
        <v>0</v>
      </c>
      <c r="R27" s="214" t="s">
        <v>78</v>
      </c>
      <c r="S27" s="216">
        <f>'2.sz.Önkormányzat'!S26</f>
        <v>0</v>
      </c>
      <c r="T27" s="212">
        <f>'2.sz.Önkormányzat'!T26</f>
        <v>116</v>
      </c>
      <c r="U27" s="212">
        <f>'2.sz.Önkormányzat'!U26</f>
        <v>609</v>
      </c>
      <c r="V27" s="213">
        <f>'2.sz.Önkormányzat'!V26</f>
        <v>5.25</v>
      </c>
      <c r="W27" s="216">
        <f>'2.sz.Önkormányzat'!W26</f>
        <v>0</v>
      </c>
      <c r="X27" s="212">
        <f>'2.sz.Önkormányzat'!X26</f>
        <v>0</v>
      </c>
      <c r="Y27" s="212">
        <f>'2.sz.Önkormányzat'!Y26</f>
        <v>5895</v>
      </c>
      <c r="Z27" s="214" t="s">
        <v>78</v>
      </c>
      <c r="AA27" s="216">
        <f>'2.sz.Önkormányzat'!AA26</f>
        <v>0</v>
      </c>
      <c r="AB27" s="212">
        <f>'2.sz.Önkormányzat'!AB26</f>
        <v>0</v>
      </c>
      <c r="AC27" s="212">
        <f>'2.sz.Önkormányzat'!AC26</f>
        <v>0</v>
      </c>
      <c r="AD27" s="217">
        <f>'2.sz.Önkormányzat'!AD26</f>
        <v>0</v>
      </c>
      <c r="AE27" s="216">
        <f>'2.sz.Önkormányzat'!AE26</f>
        <v>0</v>
      </c>
      <c r="AF27" s="212">
        <f>'2.sz.Önkormányzat'!AF26</f>
        <v>0</v>
      </c>
      <c r="AG27" s="212">
        <f>'2.sz.Önkormányzat'!AG26</f>
        <v>0</v>
      </c>
      <c r="AH27" s="214" t="s">
        <v>78</v>
      </c>
      <c r="AI27" s="216">
        <f>'2.sz.Önkormányzat'!AI26</f>
        <v>0</v>
      </c>
      <c r="AJ27" s="212">
        <f>'2.sz.Önkormányzat'!AJ26</f>
        <v>0</v>
      </c>
      <c r="AK27" s="212">
        <f>'2.sz.Önkormányzat'!AK26</f>
        <v>5895</v>
      </c>
      <c r="AL27" s="213" t="s">
        <v>78</v>
      </c>
      <c r="AM27" s="107"/>
      <c r="AN27" s="18"/>
      <c r="AO27" s="25"/>
    </row>
    <row r="28" spans="1:41" ht="17.25" customHeight="1">
      <c r="A28" s="230" t="s">
        <v>42</v>
      </c>
      <c r="B28" s="226" t="s">
        <v>119</v>
      </c>
      <c r="C28" s="216">
        <f>'2.sz.Önkormányzat'!C27</f>
        <v>0</v>
      </c>
      <c r="D28" s="212">
        <f>'2.sz.Önkormányzat'!D27</f>
        <v>0</v>
      </c>
      <c r="E28" s="212">
        <f>'2.sz.Önkormányzat'!E27</f>
        <v>0</v>
      </c>
      <c r="F28" s="214" t="s">
        <v>78</v>
      </c>
      <c r="G28" s="216">
        <f>'2.sz.Önkormányzat'!G27</f>
        <v>0</v>
      </c>
      <c r="H28" s="212">
        <f>'2.sz.Önkormányzat'!H27</f>
        <v>0</v>
      </c>
      <c r="I28" s="212">
        <f>'2.sz.Önkormányzat'!I27</f>
        <v>0</v>
      </c>
      <c r="J28" s="213" t="s">
        <v>78</v>
      </c>
      <c r="K28" s="216">
        <f>'2.sz.Önkormányzat'!K27</f>
        <v>0</v>
      </c>
      <c r="L28" s="212">
        <f>'2.sz.Önkormányzat'!L27</f>
        <v>0</v>
      </c>
      <c r="M28" s="212">
        <f>'2.sz.Önkormányzat'!M27</f>
        <v>0</v>
      </c>
      <c r="N28" s="213" t="s">
        <v>78</v>
      </c>
      <c r="O28" s="216">
        <f>'2.sz.Önkormányzat'!O27</f>
        <v>0</v>
      </c>
      <c r="P28" s="212">
        <f>'2.sz.Önkormányzat'!P27</f>
        <v>0</v>
      </c>
      <c r="Q28" s="212">
        <f>'2.sz.Önkormányzat'!Q27</f>
        <v>0</v>
      </c>
      <c r="R28" s="214" t="s">
        <v>78</v>
      </c>
      <c r="S28" s="216">
        <f>'2.sz.Önkormányzat'!S27</f>
        <v>0</v>
      </c>
      <c r="T28" s="212">
        <f>'2.sz.Önkormányzat'!T27</f>
        <v>0</v>
      </c>
      <c r="U28" s="212">
        <f>'2.sz.Önkormányzat'!U27</f>
        <v>0</v>
      </c>
      <c r="V28" s="213" t="s">
        <v>78</v>
      </c>
      <c r="W28" s="216">
        <f>'2.sz.Önkormányzat'!W27</f>
        <v>0</v>
      </c>
      <c r="X28" s="212">
        <f>'2.sz.Önkormányzat'!X27</f>
        <v>95000</v>
      </c>
      <c r="Y28" s="212">
        <f>'2.sz.Önkormányzat'!Y27</f>
        <v>94648</v>
      </c>
      <c r="Z28" s="214">
        <f>'2.sz.Önkormányzat'!Z27</f>
        <v>0.99629473684210523</v>
      </c>
      <c r="AA28" s="216">
        <f>'2.sz.Önkormányzat'!AA27</f>
        <v>0</v>
      </c>
      <c r="AB28" s="212">
        <f>'2.sz.Önkormányzat'!AB27</f>
        <v>0</v>
      </c>
      <c r="AC28" s="212">
        <f>'2.sz.Önkormányzat'!AC27</f>
        <v>0</v>
      </c>
      <c r="AD28" s="217">
        <f>'2.sz.Önkormányzat'!AD27</f>
        <v>0</v>
      </c>
      <c r="AE28" s="216">
        <f>'2.sz.Önkormányzat'!AE27</f>
        <v>0</v>
      </c>
      <c r="AF28" s="212">
        <f>'2.sz.Önkormányzat'!AF27</f>
        <v>0</v>
      </c>
      <c r="AG28" s="212">
        <f>'2.sz.Önkormányzat'!AG27</f>
        <v>0</v>
      </c>
      <c r="AH28" s="214" t="s">
        <v>78</v>
      </c>
      <c r="AI28" s="216">
        <f>'2.sz.Önkormányzat'!AI27</f>
        <v>0</v>
      </c>
      <c r="AJ28" s="212">
        <f>'2.sz.Önkormányzat'!AJ27</f>
        <v>95000</v>
      </c>
      <c r="AK28" s="212">
        <f>'2.sz.Önkormányzat'!AK27</f>
        <v>94648</v>
      </c>
      <c r="AL28" s="213">
        <f>'2.sz.Önkormányzat'!AL27</f>
        <v>0.99629473684210523</v>
      </c>
      <c r="AM28" s="107"/>
      <c r="AN28" s="18"/>
      <c r="AO28" s="25"/>
    </row>
    <row r="29" spans="1:41" s="235" customFormat="1">
      <c r="A29" s="233"/>
      <c r="B29" s="234" t="s">
        <v>35</v>
      </c>
      <c r="C29" s="218">
        <f>SUM(C30:C31)</f>
        <v>74980</v>
      </c>
      <c r="D29" s="208">
        <f t="shared" ref="D29:F29" si="7">SUM(D30:D31)</f>
        <v>66913</v>
      </c>
      <c r="E29" s="208">
        <f t="shared" si="7"/>
        <v>65849</v>
      </c>
      <c r="F29" s="210">
        <f t="shared" si="7"/>
        <v>0.98409875509990585</v>
      </c>
      <c r="G29" s="218">
        <f>SUM(G30:G31)</f>
        <v>8604</v>
      </c>
      <c r="H29" s="208">
        <f t="shared" ref="H29:J29" si="8">SUM(H30:H31)</f>
        <v>11814</v>
      </c>
      <c r="I29" s="208">
        <f t="shared" si="8"/>
        <v>10157</v>
      </c>
      <c r="J29" s="209">
        <f t="shared" si="8"/>
        <v>0.85974267817843242</v>
      </c>
      <c r="K29" s="218">
        <f>SUM(K30:K31)</f>
        <v>0</v>
      </c>
      <c r="L29" s="208">
        <f t="shared" ref="L29:N29" si="9">SUM(L30:L31)</f>
        <v>471</v>
      </c>
      <c r="M29" s="208">
        <f t="shared" si="9"/>
        <v>471</v>
      </c>
      <c r="N29" s="209">
        <f t="shared" si="9"/>
        <v>1</v>
      </c>
      <c r="O29" s="218">
        <f>SUM(O30:O31)</f>
        <v>0</v>
      </c>
      <c r="P29" s="208">
        <f t="shared" ref="P29:Q29" si="10">SUM(P30:P31)</f>
        <v>16115</v>
      </c>
      <c r="Q29" s="208">
        <f t="shared" si="10"/>
        <v>29</v>
      </c>
      <c r="R29" s="210">
        <f t="shared" ref="R29" si="11">SUM(R30:R31)</f>
        <v>1.7995656220912194E-3</v>
      </c>
      <c r="S29" s="218">
        <f t="shared" si="1"/>
        <v>83584</v>
      </c>
      <c r="T29" s="208">
        <f t="shared" si="2"/>
        <v>95313</v>
      </c>
      <c r="U29" s="208">
        <f t="shared" si="3"/>
        <v>76506</v>
      </c>
      <c r="V29" s="209">
        <f>U29/T29</f>
        <v>0.8026816908501464</v>
      </c>
      <c r="W29" s="218">
        <f>SUM(W30:W31)</f>
        <v>0</v>
      </c>
      <c r="X29" s="208">
        <f t="shared" ref="X29:Y29" si="12">SUM(X30:X31)</f>
        <v>16751</v>
      </c>
      <c r="Y29" s="208">
        <f t="shared" si="12"/>
        <v>16751</v>
      </c>
      <c r="Z29" s="211">
        <f t="shared" ref="Z29" si="13">SUM(Z30:Z31)</f>
        <v>1</v>
      </c>
      <c r="AA29" s="218">
        <f>SUM(AA30:AA31)</f>
        <v>62609</v>
      </c>
      <c r="AB29" s="208">
        <f t="shared" ref="AB29:AC29" si="14">SUM(AB30:AB31)</f>
        <v>62609</v>
      </c>
      <c r="AC29" s="208">
        <f t="shared" si="14"/>
        <v>62609</v>
      </c>
      <c r="AD29" s="209">
        <f>AC29/AB29</f>
        <v>1</v>
      </c>
      <c r="AE29" s="218">
        <f>SUM(AE30:AE31)</f>
        <v>20975</v>
      </c>
      <c r="AF29" s="208">
        <f t="shared" ref="AF29:AG29" si="15">SUM(AF30:AF31)</f>
        <v>15953</v>
      </c>
      <c r="AG29" s="208">
        <f t="shared" si="15"/>
        <v>15953</v>
      </c>
      <c r="AH29" s="210">
        <f>AG29/AF29</f>
        <v>1</v>
      </c>
      <c r="AI29" s="218">
        <f t="shared" si="4"/>
        <v>83584</v>
      </c>
      <c r="AJ29" s="208">
        <f t="shared" si="5"/>
        <v>95313</v>
      </c>
      <c r="AK29" s="208">
        <f t="shared" si="6"/>
        <v>95313</v>
      </c>
      <c r="AL29" s="209">
        <f>'2.sz.Önkormányzat'!AL28</f>
        <v>0.98152501256239899</v>
      </c>
      <c r="AM29" s="207">
        <v>20</v>
      </c>
      <c r="AN29" s="20">
        <v>0</v>
      </c>
      <c r="AO29" s="26">
        <v>0</v>
      </c>
    </row>
    <row r="30" spans="1:41" ht="25.5">
      <c r="A30" s="230" t="s">
        <v>45</v>
      </c>
      <c r="B30" s="236" t="s">
        <v>36</v>
      </c>
      <c r="C30" s="216">
        <f>'3.sz.Cházi Közös Önk.Hiv.'!C7</f>
        <v>61602</v>
      </c>
      <c r="D30" s="212">
        <f>'3.sz.Cházi Közös Önk.Hiv.'!D7</f>
        <v>66913</v>
      </c>
      <c r="E30" s="212">
        <f>'3.sz.Cházi Közös Önk.Hiv.'!E7</f>
        <v>65849</v>
      </c>
      <c r="F30" s="214">
        <f>'3.sz.Cházi Közös Önk.Hiv.'!F7</f>
        <v>0.98409875509990585</v>
      </c>
      <c r="G30" s="216">
        <f>'3.sz.Cházi Közös Önk.Hiv.'!G7</f>
        <v>8604</v>
      </c>
      <c r="H30" s="212">
        <f>'3.sz.Cházi Közös Önk.Hiv.'!H7</f>
        <v>11814</v>
      </c>
      <c r="I30" s="212">
        <f>'3.sz.Cházi Közös Önk.Hiv.'!I7</f>
        <v>10157</v>
      </c>
      <c r="J30" s="213">
        <f>'3.sz.Cházi Közös Önk.Hiv.'!J7</f>
        <v>0.85974267817843242</v>
      </c>
      <c r="K30" s="216">
        <f>'3.sz.Cházi Közös Önk.Hiv.'!K7</f>
        <v>0</v>
      </c>
      <c r="L30" s="212">
        <f>'3.sz.Cházi Közös Önk.Hiv.'!L7</f>
        <v>471</v>
      </c>
      <c r="M30" s="212">
        <f>'3.sz.Cházi Közös Önk.Hiv.'!M7</f>
        <v>471</v>
      </c>
      <c r="N30" s="213">
        <f>'3.sz.Cházi Közös Önk.Hiv.'!N7</f>
        <v>1</v>
      </c>
      <c r="O30" s="216">
        <f>'3.sz.Cházi Közös Önk.Hiv.'!O7</f>
        <v>0</v>
      </c>
      <c r="P30" s="212">
        <f>'3.sz.Cházi Közös Önk.Hiv.'!P7</f>
        <v>16115</v>
      </c>
      <c r="Q30" s="212">
        <f>'3.sz.Cházi Közös Önk.Hiv.'!Q7</f>
        <v>29</v>
      </c>
      <c r="R30" s="214">
        <f>'3.sz.Cházi Közös Önk.Hiv.'!R7</f>
        <v>1.7995656220912194E-3</v>
      </c>
      <c r="S30" s="218">
        <f t="shared" si="1"/>
        <v>70206</v>
      </c>
      <c r="T30" s="208">
        <f t="shared" si="2"/>
        <v>95313</v>
      </c>
      <c r="U30" s="208">
        <f t="shared" si="3"/>
        <v>76506</v>
      </c>
      <c r="V30" s="209">
        <f>U30/T30</f>
        <v>0.8026816908501464</v>
      </c>
      <c r="W30" s="216">
        <f>'3.sz.Cházi Közös Önk.Hiv.'!W7</f>
        <v>0</v>
      </c>
      <c r="X30" s="212">
        <f>'3.sz.Cházi Közös Önk.Hiv.'!X7</f>
        <v>16751</v>
      </c>
      <c r="Y30" s="212">
        <f>'3.sz.Cházi Közös Önk.Hiv.'!Y7</f>
        <v>16751</v>
      </c>
      <c r="Z30" s="215">
        <f>'3.sz.Cházi Közös Önk.Hiv.'!Z7</f>
        <v>1</v>
      </c>
      <c r="AA30" s="216">
        <f>'3.sz.Cházi Közös Önk.Hiv.'!AA7</f>
        <v>62609</v>
      </c>
      <c r="AB30" s="212">
        <f>'3.sz.Cházi Közös Önk.Hiv.'!AB7</f>
        <v>62609</v>
      </c>
      <c r="AC30" s="212">
        <f>'3.sz.Cházi Közös Önk.Hiv.'!AC7</f>
        <v>62609</v>
      </c>
      <c r="AD30" s="213">
        <f>AC30/AB30</f>
        <v>1</v>
      </c>
      <c r="AE30" s="216">
        <f>'3.sz.Cházi Közös Önk.Hiv.'!AE7</f>
        <v>20975</v>
      </c>
      <c r="AF30" s="212">
        <f>'3.sz.Cházi Közös Önk.Hiv.'!AF7</f>
        <v>15953</v>
      </c>
      <c r="AG30" s="212">
        <f>'3.sz.Cházi Közös Önk.Hiv.'!AG7</f>
        <v>15953</v>
      </c>
      <c r="AH30" s="214">
        <f>'3.sz.Cházi Közös Önk.Hiv.'!AH7</f>
        <v>1</v>
      </c>
      <c r="AI30" s="218">
        <f t="shared" si="4"/>
        <v>83584</v>
      </c>
      <c r="AJ30" s="208">
        <f t="shared" si="5"/>
        <v>95313</v>
      </c>
      <c r="AK30" s="208">
        <f t="shared" si="6"/>
        <v>95313</v>
      </c>
      <c r="AL30" s="209">
        <f>AK30/AJ30</f>
        <v>1</v>
      </c>
      <c r="AM30" s="107">
        <v>18</v>
      </c>
      <c r="AN30" s="18">
        <v>0</v>
      </c>
      <c r="AO30" s="25">
        <v>0</v>
      </c>
    </row>
    <row r="31" spans="1:41">
      <c r="A31" s="230" t="s">
        <v>42</v>
      </c>
      <c r="B31" s="232" t="s">
        <v>11</v>
      </c>
      <c r="C31" s="216">
        <f>'3.sz.Cházi Közös Önk.Hiv.'!C8</f>
        <v>13378</v>
      </c>
      <c r="D31" s="212">
        <f>'3.sz.Cházi Közös Önk.Hiv.'!D8</f>
        <v>0</v>
      </c>
      <c r="E31" s="212">
        <f>'3.sz.Cházi Közös Önk.Hiv.'!E8</f>
        <v>0</v>
      </c>
      <c r="F31" s="237">
        <f>'3.sz.Cházi Közös Önk.Hiv.'!F8</f>
        <v>0</v>
      </c>
      <c r="G31" s="216">
        <v>0</v>
      </c>
      <c r="H31" s="212">
        <v>0</v>
      </c>
      <c r="I31" s="212">
        <v>0</v>
      </c>
      <c r="J31" s="213"/>
      <c r="K31" s="216">
        <f>'3.sz.Cházi Közös Önk.Hiv.'!K8</f>
        <v>0</v>
      </c>
      <c r="L31" s="212">
        <f>'3.sz.Cházi Közös Önk.Hiv.'!L8</f>
        <v>0</v>
      </c>
      <c r="M31" s="212">
        <f>'3.sz.Cházi Közös Önk.Hiv.'!M8</f>
        <v>0</v>
      </c>
      <c r="N31" s="213" t="s">
        <v>78</v>
      </c>
      <c r="O31" s="216">
        <f>'3.sz.Cházi Közös Önk.Hiv.'!O8</f>
        <v>0</v>
      </c>
      <c r="P31" s="212">
        <f>'3.sz.Cházi Közös Önk.Hiv.'!P8</f>
        <v>0</v>
      </c>
      <c r="Q31" s="212">
        <f>'3.sz.Cházi Közös Önk.Hiv.'!Q8</f>
        <v>0</v>
      </c>
      <c r="R31" s="214" t="s">
        <v>78</v>
      </c>
      <c r="S31" s="218">
        <f t="shared" si="1"/>
        <v>13378</v>
      </c>
      <c r="T31" s="208">
        <f t="shared" si="2"/>
        <v>0</v>
      </c>
      <c r="U31" s="208">
        <f t="shared" si="3"/>
        <v>0</v>
      </c>
      <c r="V31" s="213" t="s">
        <v>78</v>
      </c>
      <c r="W31" s="216">
        <f>'3.sz.Cházi Közös Önk.Hiv.'!W8</f>
        <v>0</v>
      </c>
      <c r="X31" s="212">
        <f>'3.sz.Cházi Közös Önk.Hiv.'!X8</f>
        <v>0</v>
      </c>
      <c r="Y31" s="212">
        <f>'3.sz.Cházi Közös Önk.Hiv.'!Y8</f>
        <v>0</v>
      </c>
      <c r="Z31" s="214" t="s">
        <v>78</v>
      </c>
      <c r="AA31" s="216">
        <f>'3.sz.Cházi Közös Önk.Hiv.'!AA8</f>
        <v>0</v>
      </c>
      <c r="AB31" s="212">
        <f>'3.sz.Cházi Közös Önk.Hiv.'!AB8</f>
        <v>0</v>
      </c>
      <c r="AC31" s="212">
        <f>'3.sz.Cházi Közös Önk.Hiv.'!AC8</f>
        <v>0</v>
      </c>
      <c r="AD31" s="217" t="s">
        <v>78</v>
      </c>
      <c r="AE31" s="216">
        <f>'3.sz.Cházi Közös Önk.Hiv.'!AE8</f>
        <v>0</v>
      </c>
      <c r="AF31" s="212">
        <f>'3.sz.Cházi Közös Önk.Hiv.'!AF8</f>
        <v>0</v>
      </c>
      <c r="AG31" s="212">
        <f>'3.sz.Cházi Közös Önk.Hiv.'!AG8</f>
        <v>0</v>
      </c>
      <c r="AH31" s="214" t="s">
        <v>78</v>
      </c>
      <c r="AI31" s="218">
        <f t="shared" si="4"/>
        <v>0</v>
      </c>
      <c r="AJ31" s="208">
        <f t="shared" si="5"/>
        <v>0</v>
      </c>
      <c r="AK31" s="208">
        <f t="shared" si="6"/>
        <v>0</v>
      </c>
      <c r="AL31" s="222">
        <f>'2.sz.Önkormányzat'!AL30</f>
        <v>0</v>
      </c>
      <c r="AM31" s="107">
        <v>2</v>
      </c>
      <c r="AN31" s="18">
        <v>0</v>
      </c>
      <c r="AO31" s="25">
        <v>0</v>
      </c>
    </row>
    <row r="32" spans="1:41" s="235" customFormat="1">
      <c r="A32" s="233"/>
      <c r="B32" s="234" t="s">
        <v>37</v>
      </c>
      <c r="C32" s="218">
        <f>SUM(C33:C37)</f>
        <v>73473</v>
      </c>
      <c r="D32" s="208">
        <f t="shared" ref="D32:W32" si="16">SUM(D33:D37)</f>
        <v>77878</v>
      </c>
      <c r="E32" s="208">
        <f t="shared" si="16"/>
        <v>73211</v>
      </c>
      <c r="F32" s="210">
        <f>E32/D32</f>
        <v>0.94007293458999974</v>
      </c>
      <c r="G32" s="218">
        <f t="shared" si="16"/>
        <v>7743</v>
      </c>
      <c r="H32" s="208">
        <f t="shared" si="16"/>
        <v>10639</v>
      </c>
      <c r="I32" s="208">
        <f t="shared" si="16"/>
        <v>9107</v>
      </c>
      <c r="J32" s="209">
        <f>I32/H32</f>
        <v>0.85600150390074259</v>
      </c>
      <c r="K32" s="218">
        <f t="shared" si="16"/>
        <v>1200</v>
      </c>
      <c r="L32" s="208">
        <f t="shared" si="16"/>
        <v>1219</v>
      </c>
      <c r="M32" s="208">
        <f t="shared" si="16"/>
        <v>19</v>
      </c>
      <c r="N32" s="209">
        <f t="shared" si="16"/>
        <v>1.5833333333333335E-2</v>
      </c>
      <c r="O32" s="218">
        <f t="shared" si="16"/>
        <v>0</v>
      </c>
      <c r="P32" s="208">
        <f t="shared" si="16"/>
        <v>6659</v>
      </c>
      <c r="Q32" s="208">
        <f t="shared" si="16"/>
        <v>0</v>
      </c>
      <c r="R32" s="210" t="s">
        <v>78</v>
      </c>
      <c r="S32" s="218">
        <f t="shared" si="16"/>
        <v>82416</v>
      </c>
      <c r="T32" s="208">
        <f t="shared" si="16"/>
        <v>96395</v>
      </c>
      <c r="U32" s="208">
        <f t="shared" si="16"/>
        <v>82337</v>
      </c>
      <c r="V32" s="209">
        <f>U32/T32</f>
        <v>0.85416256029877069</v>
      </c>
      <c r="W32" s="218">
        <f t="shared" si="16"/>
        <v>14647</v>
      </c>
      <c r="X32" s="208">
        <f>SUM(X33:X38)</f>
        <v>514</v>
      </c>
      <c r="Y32" s="208">
        <f>SUM(Y33:Y37)</f>
        <v>12117</v>
      </c>
      <c r="Z32" s="210" t="s">
        <v>78</v>
      </c>
      <c r="AA32" s="218">
        <f>SUM(AA33:AA38)</f>
        <v>57493</v>
      </c>
      <c r="AB32" s="208">
        <f t="shared" ref="AB32:AH32" si="17">SUM(AB33:AB38)</f>
        <v>0</v>
      </c>
      <c r="AC32" s="208">
        <f t="shared" si="17"/>
        <v>0</v>
      </c>
      <c r="AD32" s="222">
        <f t="shared" si="17"/>
        <v>0</v>
      </c>
      <c r="AE32" s="218">
        <f>SUM(AE33:AE38)</f>
        <v>10276</v>
      </c>
      <c r="AF32" s="208">
        <f t="shared" si="17"/>
        <v>95881</v>
      </c>
      <c r="AG32" s="208">
        <f t="shared" si="17"/>
        <v>77771</v>
      </c>
      <c r="AH32" s="210">
        <f t="shared" si="17"/>
        <v>0.81112003420907164</v>
      </c>
      <c r="AI32" s="218">
        <f>SUM(AI33:AI38)</f>
        <v>82416</v>
      </c>
      <c r="AJ32" s="208">
        <f t="shared" ref="AJ32" si="18">SUM(AJ33:AJ38)</f>
        <v>96395</v>
      </c>
      <c r="AK32" s="208">
        <f t="shared" ref="AK32" si="19">SUM(AK33:AK38)</f>
        <v>89888</v>
      </c>
      <c r="AL32" s="209">
        <f>AK32/AJ32</f>
        <v>0.93249649878105711</v>
      </c>
      <c r="AM32" s="207">
        <f>SUM(AM33:AM34)</f>
        <v>18</v>
      </c>
      <c r="AN32" s="20">
        <v>0</v>
      </c>
      <c r="AO32" s="26">
        <v>0</v>
      </c>
    </row>
    <row r="33" spans="1:41">
      <c r="A33" s="230" t="s">
        <v>42</v>
      </c>
      <c r="B33" s="226" t="s">
        <v>38</v>
      </c>
      <c r="C33" s="216">
        <f>'4.sz.Óvoda'!C7</f>
        <v>60785</v>
      </c>
      <c r="D33" s="212">
        <f>'4.sz.Óvoda'!D7</f>
        <v>73521</v>
      </c>
      <c r="E33" s="212">
        <f>'4.sz.Óvoda'!E7</f>
        <v>69530</v>
      </c>
      <c r="F33" s="214">
        <f>'4.sz.Óvoda'!F7</f>
        <v>0.94571618993212825</v>
      </c>
      <c r="G33" s="216">
        <f>'4.sz.Óvoda'!G7</f>
        <v>0</v>
      </c>
      <c r="H33" s="212">
        <f>'4.sz.Óvoda'!H7</f>
        <v>3549</v>
      </c>
      <c r="I33" s="212">
        <f>'4.sz.Óvoda'!I7</f>
        <v>3543</v>
      </c>
      <c r="J33" s="213">
        <f>'4.sz.Óvoda'!J7</f>
        <v>0.99830938292476756</v>
      </c>
      <c r="K33" s="216">
        <f>'4.sz.Óvoda'!K7</f>
        <v>0</v>
      </c>
      <c r="L33" s="212">
        <f>'4.sz.Óvoda'!L7</f>
        <v>19</v>
      </c>
      <c r="M33" s="212">
        <f>'4.sz.Óvoda'!M7</f>
        <v>0</v>
      </c>
      <c r="N33" s="213"/>
      <c r="O33" s="216">
        <f>'4.sz.Óvoda'!O7</f>
        <v>0</v>
      </c>
      <c r="P33" s="212">
        <f>'4.sz.Óvoda'!P7</f>
        <v>6659</v>
      </c>
      <c r="Q33" s="212">
        <f>'4.sz.Óvoda'!Q7</f>
        <v>0</v>
      </c>
      <c r="R33" s="214" t="s">
        <v>78</v>
      </c>
      <c r="S33" s="216">
        <f t="shared" si="1"/>
        <v>60785</v>
      </c>
      <c r="T33" s="212">
        <f t="shared" si="2"/>
        <v>83748</v>
      </c>
      <c r="U33" s="212">
        <f t="shared" si="3"/>
        <v>73073</v>
      </c>
      <c r="V33" s="213">
        <f>U33/T33</f>
        <v>0.87253426947509194</v>
      </c>
      <c r="W33" s="216">
        <f>'4.sz.Óvoda'!W7</f>
        <v>0</v>
      </c>
      <c r="X33" s="212">
        <f>'4.sz.Óvoda'!X7</f>
        <v>0</v>
      </c>
      <c r="Y33" s="212">
        <f>'4.sz.Óvoda'!Y7</f>
        <v>24</v>
      </c>
      <c r="Z33" s="214" t="s">
        <v>78</v>
      </c>
      <c r="AA33" s="216">
        <f>'4.sz.Óvoda'!AA7</f>
        <v>50283</v>
      </c>
      <c r="AB33" s="212">
        <f>'4.sz.Óvoda'!AB7</f>
        <v>0</v>
      </c>
      <c r="AC33" s="212">
        <f>'4.sz.Óvoda'!AC7</f>
        <v>0</v>
      </c>
      <c r="AD33" s="217">
        <v>0</v>
      </c>
      <c r="AE33" s="216">
        <f>'4.sz.Óvoda'!AE7</f>
        <v>10276</v>
      </c>
      <c r="AF33" s="212">
        <f>'4.sz.Óvoda'!AF7</f>
        <v>0</v>
      </c>
      <c r="AG33" s="212">
        <f>'4.sz.Óvoda'!AG7</f>
        <v>0</v>
      </c>
      <c r="AH33" s="214" t="s">
        <v>78</v>
      </c>
      <c r="AI33" s="216">
        <f t="shared" si="4"/>
        <v>60559</v>
      </c>
      <c r="AJ33" s="212">
        <f t="shared" si="4"/>
        <v>0</v>
      </c>
      <c r="AK33" s="212">
        <f t="shared" si="6"/>
        <v>24</v>
      </c>
      <c r="AL33" s="217">
        <f>'2.sz.Önkormányzat'!AL32</f>
        <v>0</v>
      </c>
      <c r="AM33" s="107">
        <v>16</v>
      </c>
      <c r="AN33" s="18">
        <v>0</v>
      </c>
      <c r="AO33" s="25">
        <v>0</v>
      </c>
    </row>
    <row r="34" spans="1:41">
      <c r="A34" s="230" t="s">
        <v>42</v>
      </c>
      <c r="B34" s="226" t="s">
        <v>39</v>
      </c>
      <c r="C34" s="216">
        <f>'4.sz.Óvoda'!C8</f>
        <v>4358</v>
      </c>
      <c r="D34" s="212">
        <f>'4.sz.Óvoda'!D8</f>
        <v>1420</v>
      </c>
      <c r="E34" s="212">
        <f>'4.sz.Óvoda'!E8</f>
        <v>0</v>
      </c>
      <c r="F34" s="214" t="s">
        <v>78</v>
      </c>
      <c r="G34" s="216">
        <f>'4.sz.Óvoda'!G8</f>
        <v>5325</v>
      </c>
      <c r="H34" s="212">
        <f>'4.sz.Óvoda'!H8</f>
        <v>7090</v>
      </c>
      <c r="I34" s="212">
        <f>'4.sz.Óvoda'!I8</f>
        <v>5564</v>
      </c>
      <c r="J34" s="213">
        <f>'4.sz.Óvoda'!J8</f>
        <v>0.78476727785613543</v>
      </c>
      <c r="K34" s="216">
        <f>'4.sz.Óvoda'!K8</f>
        <v>1200</v>
      </c>
      <c r="L34" s="212">
        <f>'4.sz.Óvoda'!L8</f>
        <v>1200</v>
      </c>
      <c r="M34" s="212">
        <f>'4.sz.Óvoda'!M8</f>
        <v>19</v>
      </c>
      <c r="N34" s="213">
        <f>'4.sz.Óvoda'!N8</f>
        <v>1.5833333333333335E-2</v>
      </c>
      <c r="O34" s="216">
        <f>'4.sz.Óvoda'!O8</f>
        <v>0</v>
      </c>
      <c r="P34" s="212">
        <f>'4.sz.Óvoda'!P8</f>
        <v>0</v>
      </c>
      <c r="Q34" s="212">
        <f>'4.sz.Óvoda'!Q8</f>
        <v>0</v>
      </c>
      <c r="R34" s="214" t="s">
        <v>78</v>
      </c>
      <c r="S34" s="216">
        <f t="shared" si="1"/>
        <v>10883</v>
      </c>
      <c r="T34" s="212">
        <f t="shared" si="2"/>
        <v>9710</v>
      </c>
      <c r="U34" s="212">
        <f t="shared" si="3"/>
        <v>5583</v>
      </c>
      <c r="V34" s="213">
        <f>U34/T34</f>
        <v>0.57497425334706487</v>
      </c>
      <c r="W34" s="216">
        <f>'4.sz.Óvoda'!W8</f>
        <v>5144</v>
      </c>
      <c r="X34" s="212">
        <f>'4.sz.Óvoda'!X8</f>
        <v>0</v>
      </c>
      <c r="Y34" s="212">
        <f>'4.sz.Óvoda'!Y8</f>
        <v>9234</v>
      </c>
      <c r="Z34" s="214" t="s">
        <v>78</v>
      </c>
      <c r="AA34" s="216">
        <f>'4.sz.Óvoda'!AA8</f>
        <v>7210</v>
      </c>
      <c r="AB34" s="212">
        <f>'4.sz.Óvoda'!AB8</f>
        <v>0</v>
      </c>
      <c r="AC34" s="212">
        <f>'4.sz.Óvoda'!AC8</f>
        <v>0</v>
      </c>
      <c r="AD34" s="217">
        <v>0</v>
      </c>
      <c r="AE34" s="216">
        <f>'4.sz.Óvoda'!AE8</f>
        <v>0</v>
      </c>
      <c r="AF34" s="212">
        <f>'4.sz.Óvoda'!AF8</f>
        <v>0</v>
      </c>
      <c r="AG34" s="212">
        <f>'4.sz.Óvoda'!AG8</f>
        <v>0</v>
      </c>
      <c r="AH34" s="214" t="s">
        <v>78</v>
      </c>
      <c r="AI34" s="216">
        <f t="shared" si="4"/>
        <v>12354</v>
      </c>
      <c r="AJ34" s="212">
        <f t="shared" si="4"/>
        <v>0</v>
      </c>
      <c r="AK34" s="212">
        <f t="shared" si="6"/>
        <v>9234</v>
      </c>
      <c r="AL34" s="217">
        <f>'2.sz.Önkormányzat'!AL33</f>
        <v>0</v>
      </c>
      <c r="AM34" s="107">
        <v>2</v>
      </c>
      <c r="AN34" s="18">
        <v>0</v>
      </c>
      <c r="AO34" s="25">
        <v>0</v>
      </c>
    </row>
    <row r="35" spans="1:41">
      <c r="A35" s="230" t="s">
        <v>42</v>
      </c>
      <c r="B35" s="226" t="s">
        <v>40</v>
      </c>
      <c r="C35" s="216">
        <f>'4.sz.Óvoda'!C9</f>
        <v>1245</v>
      </c>
      <c r="D35" s="212">
        <f>'4.sz.Óvoda'!D9</f>
        <v>1245</v>
      </c>
      <c r="E35" s="212">
        <f>'4.sz.Óvoda'!E9</f>
        <v>0</v>
      </c>
      <c r="F35" s="214" t="s">
        <v>78</v>
      </c>
      <c r="G35" s="216">
        <f>'4.sz.Óvoda'!G9</f>
        <v>0</v>
      </c>
      <c r="H35" s="212">
        <f>'4.sz.Óvoda'!H9</f>
        <v>0</v>
      </c>
      <c r="I35" s="212">
        <f>'4.sz.Óvoda'!I9</f>
        <v>0</v>
      </c>
      <c r="J35" s="213"/>
      <c r="K35" s="216">
        <f>'4.sz.Óvoda'!K9</f>
        <v>0</v>
      </c>
      <c r="L35" s="212">
        <f>'4.sz.Óvoda'!L9</f>
        <v>0</v>
      </c>
      <c r="M35" s="212">
        <f>'4.sz.Óvoda'!M9</f>
        <v>0</v>
      </c>
      <c r="N35" s="213"/>
      <c r="O35" s="216">
        <f>'4.sz.Óvoda'!O9</f>
        <v>0</v>
      </c>
      <c r="P35" s="212">
        <f>'4.sz.Óvoda'!P9</f>
        <v>0</v>
      </c>
      <c r="Q35" s="212">
        <f>'4.sz.Óvoda'!Q9</f>
        <v>0</v>
      </c>
      <c r="R35" s="214" t="s">
        <v>78</v>
      </c>
      <c r="S35" s="216">
        <f t="shared" si="1"/>
        <v>1245</v>
      </c>
      <c r="T35" s="212">
        <f t="shared" si="2"/>
        <v>1245</v>
      </c>
      <c r="U35" s="212">
        <f t="shared" si="3"/>
        <v>0</v>
      </c>
      <c r="V35" s="213" t="s">
        <v>78</v>
      </c>
      <c r="W35" s="216">
        <f>'4.sz.Óvoda'!W9</f>
        <v>0</v>
      </c>
      <c r="X35" s="212">
        <f>'4.sz.Óvoda'!X9</f>
        <v>0</v>
      </c>
      <c r="Y35" s="212">
        <f>'4.sz.Óvoda'!Y9</f>
        <v>0</v>
      </c>
      <c r="Z35" s="214" t="s">
        <v>78</v>
      </c>
      <c r="AA35" s="216">
        <f>'4.sz.Óvoda'!AA9</f>
        <v>0</v>
      </c>
      <c r="AB35" s="212">
        <f>'4.sz.Óvoda'!AB9</f>
        <v>0</v>
      </c>
      <c r="AC35" s="212">
        <f>'4.sz.Óvoda'!AC9</f>
        <v>0</v>
      </c>
      <c r="AD35" s="217">
        <v>0</v>
      </c>
      <c r="AE35" s="216">
        <f>'4.sz.Óvoda'!AE9</f>
        <v>0</v>
      </c>
      <c r="AF35" s="212">
        <f>'4.sz.Óvoda'!AF9</f>
        <v>0</v>
      </c>
      <c r="AG35" s="212">
        <f>'4.sz.Óvoda'!AG9</f>
        <v>0</v>
      </c>
      <c r="AH35" s="214" t="s">
        <v>78</v>
      </c>
      <c r="AI35" s="216">
        <f t="shared" si="4"/>
        <v>0</v>
      </c>
      <c r="AJ35" s="212">
        <f t="shared" si="5"/>
        <v>0</v>
      </c>
      <c r="AK35" s="212">
        <f t="shared" si="6"/>
        <v>0</v>
      </c>
      <c r="AL35" s="217">
        <f>'2.sz.Önkormányzat'!AL34</f>
        <v>0</v>
      </c>
      <c r="AM35" s="107">
        <v>0</v>
      </c>
      <c r="AN35" s="18">
        <v>0</v>
      </c>
      <c r="AO35" s="25">
        <v>0</v>
      </c>
    </row>
    <row r="36" spans="1:41">
      <c r="A36" s="230" t="s">
        <v>43</v>
      </c>
      <c r="B36" s="238" t="s">
        <v>41</v>
      </c>
      <c r="C36" s="216">
        <f>'4.sz.Óvoda'!C10</f>
        <v>7085</v>
      </c>
      <c r="D36" s="212">
        <f>'4.sz.Óvoda'!D10</f>
        <v>0</v>
      </c>
      <c r="E36" s="212">
        <f>'4.sz.Óvoda'!E10</f>
        <v>0</v>
      </c>
      <c r="F36" s="214" t="s">
        <v>78</v>
      </c>
      <c r="G36" s="216">
        <f>'4.sz.Óvoda'!G10</f>
        <v>2418</v>
      </c>
      <c r="H36" s="212">
        <f>'4.sz.Óvoda'!H10</f>
        <v>0</v>
      </c>
      <c r="I36" s="212">
        <f>'4.sz.Óvoda'!I10</f>
        <v>0</v>
      </c>
      <c r="J36" s="213" t="s">
        <v>78</v>
      </c>
      <c r="K36" s="216">
        <f>'4.sz.Óvoda'!K10</f>
        <v>0</v>
      </c>
      <c r="L36" s="212">
        <f>'4.sz.Óvoda'!L10</f>
        <v>0</v>
      </c>
      <c r="M36" s="212">
        <f>'4.sz.Óvoda'!M10</f>
        <v>0</v>
      </c>
      <c r="N36" s="213"/>
      <c r="O36" s="216">
        <f>'4.sz.Óvoda'!O10</f>
        <v>0</v>
      </c>
      <c r="P36" s="212">
        <f>'4.sz.Óvoda'!P10</f>
        <v>0</v>
      </c>
      <c r="Q36" s="212">
        <f>'4.sz.Óvoda'!Q10</f>
        <v>0</v>
      </c>
      <c r="R36" s="214" t="s">
        <v>78</v>
      </c>
      <c r="S36" s="216">
        <f t="shared" si="1"/>
        <v>9503</v>
      </c>
      <c r="T36" s="212">
        <f t="shared" si="2"/>
        <v>0</v>
      </c>
      <c r="U36" s="212">
        <f t="shared" si="3"/>
        <v>0</v>
      </c>
      <c r="V36" s="213" t="s">
        <v>78</v>
      </c>
      <c r="W36" s="216">
        <f>'4.sz.Óvoda'!W10</f>
        <v>9503</v>
      </c>
      <c r="X36" s="212">
        <f>'4.sz.Óvoda'!X10</f>
        <v>0</v>
      </c>
      <c r="Y36" s="212">
        <f>'4.sz.Óvoda'!Y10</f>
        <v>0</v>
      </c>
      <c r="Z36" s="214" t="s">
        <v>78</v>
      </c>
      <c r="AA36" s="216">
        <f>'4.sz.Óvoda'!AA10</f>
        <v>0</v>
      </c>
      <c r="AB36" s="212">
        <f>'4.sz.Óvoda'!AB10</f>
        <v>0</v>
      </c>
      <c r="AC36" s="212">
        <f>'4.sz.Óvoda'!AC10</f>
        <v>0</v>
      </c>
      <c r="AD36" s="217">
        <v>0</v>
      </c>
      <c r="AE36" s="216">
        <f>'4.sz.Óvoda'!AE10</f>
        <v>0</v>
      </c>
      <c r="AF36" s="212">
        <f>'4.sz.Óvoda'!AF10</f>
        <v>0</v>
      </c>
      <c r="AG36" s="212">
        <f>'4.sz.Óvoda'!AG10</f>
        <v>0</v>
      </c>
      <c r="AH36" s="214" t="s">
        <v>78</v>
      </c>
      <c r="AI36" s="216">
        <f t="shared" si="4"/>
        <v>9503</v>
      </c>
      <c r="AJ36" s="212">
        <f t="shared" si="4"/>
        <v>0</v>
      </c>
      <c r="AK36" s="212">
        <f t="shared" si="6"/>
        <v>0</v>
      </c>
      <c r="AL36" s="217">
        <f>'2.sz.Önkormányzat'!AL35</f>
        <v>0</v>
      </c>
      <c r="AM36" s="107" t="s">
        <v>78</v>
      </c>
      <c r="AN36" s="18">
        <v>0</v>
      </c>
      <c r="AO36" s="25">
        <v>0</v>
      </c>
    </row>
    <row r="37" spans="1:41">
      <c r="A37" s="230" t="s">
        <v>42</v>
      </c>
      <c r="B37" s="238" t="s">
        <v>116</v>
      </c>
      <c r="C37" s="216">
        <f>'4.sz.Óvoda'!C11</f>
        <v>0</v>
      </c>
      <c r="D37" s="212">
        <f>'4.sz.Óvoda'!D11</f>
        <v>1692</v>
      </c>
      <c r="E37" s="212">
        <f>'4.sz.Óvoda'!E11</f>
        <v>3681</v>
      </c>
      <c r="F37" s="214">
        <f>'4.sz.Óvoda'!F11</f>
        <v>2.1755319148936172</v>
      </c>
      <c r="G37" s="216">
        <f>'4.sz.Óvoda'!G11</f>
        <v>0</v>
      </c>
      <c r="H37" s="212">
        <f>'4.sz.Óvoda'!H11</f>
        <v>0</v>
      </c>
      <c r="I37" s="212">
        <f>'4.sz.Óvoda'!I11</f>
        <v>0</v>
      </c>
      <c r="J37" s="213" t="s">
        <v>78</v>
      </c>
      <c r="K37" s="216">
        <f>'4.sz.Óvoda'!K11</f>
        <v>0</v>
      </c>
      <c r="L37" s="212">
        <f>'4.sz.Óvoda'!L11</f>
        <v>0</v>
      </c>
      <c r="M37" s="212">
        <f>'4.sz.Óvoda'!M11</f>
        <v>0</v>
      </c>
      <c r="N37" s="213" t="s">
        <v>78</v>
      </c>
      <c r="O37" s="216">
        <f>'4.sz.Óvoda'!O11</f>
        <v>0</v>
      </c>
      <c r="P37" s="212">
        <f>'4.sz.Óvoda'!P11</f>
        <v>0</v>
      </c>
      <c r="Q37" s="212">
        <f>'4.sz.Óvoda'!Q11</f>
        <v>0</v>
      </c>
      <c r="R37" s="214" t="s">
        <v>78</v>
      </c>
      <c r="S37" s="216">
        <f>'4.sz.Óvoda'!S11</f>
        <v>0</v>
      </c>
      <c r="T37" s="212">
        <f>'4.sz.Óvoda'!T11</f>
        <v>1692</v>
      </c>
      <c r="U37" s="212">
        <f>'4.sz.Óvoda'!U11</f>
        <v>3681</v>
      </c>
      <c r="V37" s="213">
        <f t="shared" ref="V37" si="20">U37/T37</f>
        <v>2.1755319148936172</v>
      </c>
      <c r="W37" s="216">
        <f>'4.sz.Óvoda'!W11</f>
        <v>0</v>
      </c>
      <c r="X37" s="212">
        <f>'4.sz.Óvoda'!X11</f>
        <v>514</v>
      </c>
      <c r="Y37" s="212">
        <f>'4.sz.Óvoda'!Y11</f>
        <v>2859</v>
      </c>
      <c r="Z37" s="214" t="s">
        <v>78</v>
      </c>
      <c r="AA37" s="216">
        <f>'4.sz.Óvoda'!AA11</f>
        <v>0</v>
      </c>
      <c r="AB37" s="212">
        <f>'4.sz.Óvoda'!AB11</f>
        <v>0</v>
      </c>
      <c r="AC37" s="212">
        <f>'4.sz.Óvoda'!AC11</f>
        <v>0</v>
      </c>
      <c r="AD37" s="217">
        <v>0</v>
      </c>
      <c r="AE37" s="216">
        <f>'4.sz.Óvoda'!AE11</f>
        <v>0</v>
      </c>
      <c r="AF37" s="212">
        <f>'4.sz.Óvoda'!AF11</f>
        <v>0</v>
      </c>
      <c r="AG37" s="212">
        <f>'4.sz.Óvoda'!AG11</f>
        <v>0</v>
      </c>
      <c r="AH37" s="214" t="s">
        <v>78</v>
      </c>
      <c r="AI37" s="216">
        <f>'4.sz.Óvoda'!AI11</f>
        <v>0</v>
      </c>
      <c r="AJ37" s="212">
        <f>'4.sz.Óvoda'!AJ11</f>
        <v>514</v>
      </c>
      <c r="AK37" s="212">
        <f>'4.sz.Óvoda'!AK11</f>
        <v>2859</v>
      </c>
      <c r="AL37" s="213">
        <f>'4.sz.Óvoda'!AL11</f>
        <v>5.5622568093385212</v>
      </c>
      <c r="AM37" s="216" t="s">
        <v>78</v>
      </c>
      <c r="AN37" s="212" t="s">
        <v>78</v>
      </c>
      <c r="AO37" s="237" t="s">
        <v>78</v>
      </c>
    </row>
    <row r="38" spans="1:41">
      <c r="A38" s="230" t="s">
        <v>42</v>
      </c>
      <c r="B38" s="238" t="s">
        <v>29</v>
      </c>
      <c r="C38" s="216">
        <f>'4.sz.Óvoda'!C12</f>
        <v>0</v>
      </c>
      <c r="D38" s="212">
        <f>'4.sz.Óvoda'!D12</f>
        <v>0</v>
      </c>
      <c r="E38" s="212">
        <f>'4.sz.Óvoda'!E12</f>
        <v>0</v>
      </c>
      <c r="F38" s="214" t="s">
        <v>78</v>
      </c>
      <c r="G38" s="216">
        <f>'4.sz.Óvoda'!G12</f>
        <v>0</v>
      </c>
      <c r="H38" s="212">
        <f>'4.sz.Óvoda'!H12</f>
        <v>0</v>
      </c>
      <c r="I38" s="212">
        <f>'4.sz.Óvoda'!I12</f>
        <v>0</v>
      </c>
      <c r="J38" s="213" t="s">
        <v>78</v>
      </c>
      <c r="K38" s="216">
        <f>'4.sz.Óvoda'!K12</f>
        <v>0</v>
      </c>
      <c r="L38" s="212">
        <f>'4.sz.Óvoda'!L12</f>
        <v>0</v>
      </c>
      <c r="M38" s="212">
        <f>'4.sz.Óvoda'!M12</f>
        <v>0</v>
      </c>
      <c r="N38" s="213" t="s">
        <v>78</v>
      </c>
      <c r="O38" s="216">
        <f>'4.sz.Óvoda'!O12</f>
        <v>0</v>
      </c>
      <c r="P38" s="212">
        <f>'4.sz.Óvoda'!P12</f>
        <v>0</v>
      </c>
      <c r="Q38" s="212">
        <f>'4.sz.Óvoda'!Q12</f>
        <v>0</v>
      </c>
      <c r="R38" s="214" t="s">
        <v>78</v>
      </c>
      <c r="S38" s="216">
        <f>'4.sz.Óvoda'!S12</f>
        <v>0</v>
      </c>
      <c r="T38" s="212">
        <f>'4.sz.Óvoda'!T12</f>
        <v>0</v>
      </c>
      <c r="U38" s="212">
        <f>'4.sz.Óvoda'!U12</f>
        <v>0</v>
      </c>
      <c r="V38" s="217" t="s">
        <v>78</v>
      </c>
      <c r="W38" s="216">
        <f>'4.sz.Óvoda'!W12</f>
        <v>0</v>
      </c>
      <c r="X38" s="212">
        <f>'4.sz.Óvoda'!X12</f>
        <v>0</v>
      </c>
      <c r="Y38" s="212">
        <f>'4.sz.Óvoda'!Y12</f>
        <v>0</v>
      </c>
      <c r="Z38" s="214" t="s">
        <v>78</v>
      </c>
      <c r="AA38" s="216">
        <f>'4.sz.Óvoda'!AA12</f>
        <v>0</v>
      </c>
      <c r="AB38" s="212">
        <f>'4.sz.Óvoda'!AB12</f>
        <v>0</v>
      </c>
      <c r="AC38" s="212">
        <f>'4.sz.Óvoda'!AC12</f>
        <v>0</v>
      </c>
      <c r="AD38" s="217">
        <v>0</v>
      </c>
      <c r="AE38" s="216">
        <f>'4.sz.Óvoda'!AE12</f>
        <v>0</v>
      </c>
      <c r="AF38" s="212">
        <f>'4.sz.Óvoda'!AF12</f>
        <v>95881</v>
      </c>
      <c r="AG38" s="212">
        <f>'4.sz.Óvoda'!AG12</f>
        <v>77771</v>
      </c>
      <c r="AH38" s="214">
        <f>'4.sz.Óvoda'!AH12</f>
        <v>0.81112003420907164</v>
      </c>
      <c r="AI38" s="216">
        <f>'4.sz.Óvoda'!AI12</f>
        <v>0</v>
      </c>
      <c r="AJ38" s="212">
        <f>'4.sz.Óvoda'!AJ12</f>
        <v>95881</v>
      </c>
      <c r="AK38" s="212">
        <f>'4.sz.Óvoda'!AK12</f>
        <v>77771</v>
      </c>
      <c r="AL38" s="213">
        <f>'4.sz.Óvoda'!AL12</f>
        <v>0.81112003420907164</v>
      </c>
      <c r="AM38" s="216" t="s">
        <v>78</v>
      </c>
      <c r="AN38" s="212" t="s">
        <v>78</v>
      </c>
      <c r="AO38" s="237" t="s">
        <v>78</v>
      </c>
    </row>
    <row r="39" spans="1:41" s="235" customFormat="1">
      <c r="A39" s="233" t="s">
        <v>42</v>
      </c>
      <c r="B39" s="234" t="s">
        <v>12</v>
      </c>
      <c r="C39" s="218">
        <f>'5.sz.Könyvtár'!C9</f>
        <v>5692</v>
      </c>
      <c r="D39" s="208">
        <f>'5.sz.Könyvtár'!D9</f>
        <v>5692</v>
      </c>
      <c r="E39" s="208">
        <f>'5.sz.Könyvtár'!E9</f>
        <v>5306</v>
      </c>
      <c r="F39" s="210">
        <f>'5.sz.Könyvtár'!F9</f>
        <v>0.93218552354181305</v>
      </c>
      <c r="G39" s="218">
        <f>'5.sz.Könyvtár'!G9</f>
        <v>1208</v>
      </c>
      <c r="H39" s="208">
        <f>'5.sz.Könyvtár'!H9</f>
        <v>1457</v>
      </c>
      <c r="I39" s="208">
        <f>'5.sz.Könyvtár'!I9</f>
        <v>1296</v>
      </c>
      <c r="J39" s="209">
        <f>'5.sz.Könyvtár'!J9</f>
        <v>0.88949897048730264</v>
      </c>
      <c r="K39" s="218">
        <f>'5.sz.Könyvtár'!K9</f>
        <v>0</v>
      </c>
      <c r="L39" s="208">
        <f>'5.sz.Könyvtár'!L9</f>
        <v>12</v>
      </c>
      <c r="M39" s="208">
        <f>'5.sz.Könyvtár'!M9</f>
        <v>12</v>
      </c>
      <c r="N39" s="209">
        <f>'5.sz.Könyvtár'!N9</f>
        <v>1</v>
      </c>
      <c r="O39" s="218">
        <f>'5.sz.Könyvtár'!O9</f>
        <v>0</v>
      </c>
      <c r="P39" s="208">
        <f>'5.sz.Könyvtár'!P9</f>
        <v>497</v>
      </c>
      <c r="Q39" s="208">
        <f>'5.sz.Könyvtár'!Q9</f>
        <v>497</v>
      </c>
      <c r="R39" s="210">
        <f>'5.sz.Könyvtár'!R9</f>
        <v>1</v>
      </c>
      <c r="S39" s="218">
        <f t="shared" si="1"/>
        <v>6900</v>
      </c>
      <c r="T39" s="208">
        <f t="shared" si="2"/>
        <v>7658</v>
      </c>
      <c r="U39" s="208">
        <f t="shared" si="3"/>
        <v>7111</v>
      </c>
      <c r="V39" s="209">
        <f>U39/T39</f>
        <v>0.9285714285714286</v>
      </c>
      <c r="W39" s="218">
        <f>'5.sz.Könyvtár'!W9</f>
        <v>500</v>
      </c>
      <c r="X39" s="208">
        <f>'5.sz.Könyvtár'!X9</f>
        <v>786</v>
      </c>
      <c r="Y39" s="208">
        <f>'5.sz.Könyvtár'!Y9</f>
        <v>764</v>
      </c>
      <c r="Z39" s="210">
        <f>'5.sz.Könyvtár'!Z9</f>
        <v>0.97201017811704837</v>
      </c>
      <c r="AA39" s="218">
        <f>'5.sz.Könyvtár'!AA9</f>
        <v>2469</v>
      </c>
      <c r="AB39" s="208">
        <f>'5.sz.Könyvtár'!AB9</f>
        <v>0</v>
      </c>
      <c r="AC39" s="208">
        <f>'5.sz.Könyvtár'!AC9</f>
        <v>0</v>
      </c>
      <c r="AD39" s="222">
        <v>0</v>
      </c>
      <c r="AE39" s="218">
        <f>'5.sz.Könyvtár'!AE9</f>
        <v>3931</v>
      </c>
      <c r="AF39" s="208">
        <f>'5.sz.Könyvtár'!AF9</f>
        <v>6872</v>
      </c>
      <c r="AG39" s="208">
        <f>'5.sz.Könyvtár'!AG9</f>
        <v>6786</v>
      </c>
      <c r="AH39" s="210">
        <f>'5.sz.Könyvtár'!AH9</f>
        <v>0.98748544819557627</v>
      </c>
      <c r="AI39" s="218">
        <f t="shared" si="4"/>
        <v>6900</v>
      </c>
      <c r="AJ39" s="208">
        <f t="shared" si="5"/>
        <v>7658</v>
      </c>
      <c r="AK39" s="208">
        <f t="shared" si="6"/>
        <v>7550</v>
      </c>
      <c r="AL39" s="209">
        <f t="shared" si="6"/>
        <v>1.9594956263126246</v>
      </c>
      <c r="AM39" s="207">
        <v>2</v>
      </c>
      <c r="AN39" s="20">
        <v>0</v>
      </c>
      <c r="AO39" s="26">
        <v>0</v>
      </c>
    </row>
    <row r="40" spans="1:41" s="235" customFormat="1">
      <c r="A40" s="233" t="s">
        <v>42</v>
      </c>
      <c r="B40" s="234" t="s">
        <v>13</v>
      </c>
      <c r="C40" s="218">
        <f>'6.sz.Műv.Ház'!C9</f>
        <v>8456</v>
      </c>
      <c r="D40" s="208">
        <f>'6.sz.Műv.Ház'!D9</f>
        <v>9326</v>
      </c>
      <c r="E40" s="208">
        <f>'6.sz.Műv.Ház'!E9</f>
        <v>9326</v>
      </c>
      <c r="F40" s="210">
        <f>'6.sz.Műv.Ház'!F9</f>
        <v>1</v>
      </c>
      <c r="G40" s="218">
        <f>'6.sz.Műv.Ház'!G9</f>
        <v>7930</v>
      </c>
      <c r="H40" s="208">
        <f>'6.sz.Műv.Ház'!H9</f>
        <v>8036</v>
      </c>
      <c r="I40" s="208">
        <f>'6.sz.Műv.Ház'!I9</f>
        <v>7920</v>
      </c>
      <c r="J40" s="209">
        <f>'6.sz.Műv.Ház'!J9</f>
        <v>0.98556495769039321</v>
      </c>
      <c r="K40" s="218">
        <f>'6.sz.Műv.Ház'!K9</f>
        <v>500</v>
      </c>
      <c r="L40" s="208">
        <f>'6.sz.Műv.Ház'!L9</f>
        <v>0</v>
      </c>
      <c r="M40" s="208">
        <f>'6.sz.Műv.Ház'!M9</f>
        <v>0</v>
      </c>
      <c r="N40" s="209" t="s">
        <v>78</v>
      </c>
      <c r="O40" s="218">
        <f>'6.sz.Műv.Ház'!O9</f>
        <v>0</v>
      </c>
      <c r="P40" s="208">
        <f>'6.sz.Műv.Ház'!P9</f>
        <v>469</v>
      </c>
      <c r="Q40" s="208">
        <f>'6.sz.Műv.Ház'!Q9</f>
        <v>70</v>
      </c>
      <c r="R40" s="210">
        <f>'6.sz.Műv.Ház'!R9</f>
        <v>0.14925373134328357</v>
      </c>
      <c r="S40" s="218">
        <f t="shared" si="1"/>
        <v>16886</v>
      </c>
      <c r="T40" s="208">
        <f t="shared" si="2"/>
        <v>17831</v>
      </c>
      <c r="U40" s="208">
        <f t="shared" si="3"/>
        <v>17316</v>
      </c>
      <c r="V40" s="209">
        <f t="shared" ref="V40:V43" si="21">U40/T40</f>
        <v>0.97111771633671695</v>
      </c>
      <c r="W40" s="218">
        <f>'6.sz.Műv.Ház'!W9</f>
        <v>1800</v>
      </c>
      <c r="X40" s="208">
        <f>'6.sz.Műv.Ház'!X9</f>
        <v>2276</v>
      </c>
      <c r="Y40" s="208">
        <f>'6.sz.Műv.Ház'!Y9</f>
        <v>1872</v>
      </c>
      <c r="Z40" s="210">
        <f>'6.sz.Műv.Ház'!Z9</f>
        <v>0.82249560632688923</v>
      </c>
      <c r="AA40" s="218">
        <f>'6.sz.Műv.Ház'!AA9</f>
        <v>2469</v>
      </c>
      <c r="AB40" s="208">
        <f>'6.sz.Műv.Ház'!AB9</f>
        <v>0</v>
      </c>
      <c r="AC40" s="208">
        <f>'6.sz.Műv.Ház'!AC9</f>
        <v>0</v>
      </c>
      <c r="AD40" s="222">
        <v>0</v>
      </c>
      <c r="AE40" s="218">
        <f>'6.sz.Műv.Ház'!AE9</f>
        <v>12617</v>
      </c>
      <c r="AF40" s="208">
        <f>'6.sz.Műv.Ház'!AF9</f>
        <v>15555</v>
      </c>
      <c r="AG40" s="208">
        <f>'6.sz.Műv.Ház'!AG9</f>
        <v>15932</v>
      </c>
      <c r="AH40" s="210">
        <f>'6.sz.Műv.Ház'!AH9</f>
        <v>1.0242365798778528</v>
      </c>
      <c r="AI40" s="218">
        <f t="shared" si="4"/>
        <v>16886</v>
      </c>
      <c r="AJ40" s="208">
        <f t="shared" si="5"/>
        <v>17831</v>
      </c>
      <c r="AK40" s="208">
        <f t="shared" si="6"/>
        <v>17804</v>
      </c>
      <c r="AL40" s="209">
        <f t="shared" si="6"/>
        <v>1.8467321862047421</v>
      </c>
      <c r="AM40" s="207">
        <v>3</v>
      </c>
      <c r="AN40" s="20">
        <v>1</v>
      </c>
      <c r="AO40" s="26">
        <v>0</v>
      </c>
    </row>
    <row r="41" spans="1:41" s="235" customFormat="1">
      <c r="A41" s="233" t="s">
        <v>42</v>
      </c>
      <c r="B41" s="234" t="s">
        <v>14</v>
      </c>
      <c r="C41" s="218">
        <f>'8.sz.CSSK'!C12</f>
        <v>14912</v>
      </c>
      <c r="D41" s="208">
        <f>'8.sz.CSSK'!D12</f>
        <v>17475</v>
      </c>
      <c r="E41" s="208">
        <f>'8.sz.CSSK'!E12</f>
        <v>17458</v>
      </c>
      <c r="F41" s="210">
        <f>'8.sz.CSSK'!F12</f>
        <v>0.99902718168812588</v>
      </c>
      <c r="G41" s="218">
        <f>'8.sz.CSSK'!G12</f>
        <v>2944</v>
      </c>
      <c r="H41" s="208">
        <f>'8.sz.CSSK'!H12</f>
        <v>3753</v>
      </c>
      <c r="I41" s="208">
        <f>'8.sz.CSSK'!I12</f>
        <v>2436</v>
      </c>
      <c r="J41" s="209">
        <f>'8.sz.CSSK'!J12</f>
        <v>0.64908073541167066</v>
      </c>
      <c r="K41" s="218">
        <f>'8.sz.CSSK'!K12</f>
        <v>800</v>
      </c>
      <c r="L41" s="208">
        <f>'8.sz.CSSK'!L12</f>
        <v>561</v>
      </c>
      <c r="M41" s="208">
        <f>'8.sz.CSSK'!M12</f>
        <v>0</v>
      </c>
      <c r="N41" s="209" t="s">
        <v>78</v>
      </c>
      <c r="O41" s="218">
        <f>'8.sz.CSSK'!O12</f>
        <v>0</v>
      </c>
      <c r="P41" s="208">
        <f>'8.sz.CSSK'!P12</f>
        <v>500</v>
      </c>
      <c r="Q41" s="208">
        <f>'8.sz.CSSK'!Q12</f>
        <v>22</v>
      </c>
      <c r="R41" s="210">
        <f>'8.sz.CSSK'!R12</f>
        <v>4.3999999999999997E-2</v>
      </c>
      <c r="S41" s="218">
        <f>'8.sz.CSSK'!S12</f>
        <v>18656</v>
      </c>
      <c r="T41" s="208">
        <f>'8.sz.CSSK'!T12</f>
        <v>22289</v>
      </c>
      <c r="U41" s="208">
        <f>'8.sz.CSSK'!U12</f>
        <v>19916</v>
      </c>
      <c r="V41" s="209">
        <f t="shared" si="21"/>
        <v>0.89353492754273411</v>
      </c>
      <c r="W41" s="218">
        <f>'8.sz.CSSK'!W12</f>
        <v>0</v>
      </c>
      <c r="X41" s="208">
        <f>'8.sz.CSSK'!X12</f>
        <v>0</v>
      </c>
      <c r="Y41" s="208">
        <f>'8.sz.CSSK'!Y12</f>
        <v>1328</v>
      </c>
      <c r="Z41" s="210" t="s">
        <v>78</v>
      </c>
      <c r="AA41" s="218">
        <f>'8.sz.CSSK'!AA12</f>
        <v>11537</v>
      </c>
      <c r="AB41" s="208">
        <f>'8.sz.CSSK'!AB12</f>
        <v>0</v>
      </c>
      <c r="AC41" s="208">
        <f>'8.sz.CSSK'!AC12</f>
        <v>0</v>
      </c>
      <c r="AD41" s="222">
        <v>0</v>
      </c>
      <c r="AE41" s="218">
        <f>'8.sz.CSSK'!AE12</f>
        <v>7119</v>
      </c>
      <c r="AF41" s="208">
        <f>'8.sz.CSSK'!AF12</f>
        <v>22289</v>
      </c>
      <c r="AG41" s="208">
        <f>'8.sz.CSSK'!AG12</f>
        <v>21719</v>
      </c>
      <c r="AH41" s="210">
        <f>'8.sz.CSSK'!AH12</f>
        <v>0.97442684732379203</v>
      </c>
      <c r="AI41" s="218">
        <f t="shared" si="4"/>
        <v>18656</v>
      </c>
      <c r="AJ41" s="208">
        <f t="shared" si="5"/>
        <v>22289</v>
      </c>
      <c r="AK41" s="208">
        <f t="shared" si="6"/>
        <v>23047</v>
      </c>
      <c r="AL41" s="209">
        <f>AK41/AJ41</f>
        <v>1.0340078065413432</v>
      </c>
      <c r="AM41" s="207">
        <v>6</v>
      </c>
      <c r="AN41" s="20">
        <v>0</v>
      </c>
      <c r="AO41" s="26">
        <v>0</v>
      </c>
    </row>
    <row r="42" spans="1:41" s="235" customFormat="1">
      <c r="A42" s="233" t="s">
        <v>43</v>
      </c>
      <c r="B42" s="234" t="s">
        <v>15</v>
      </c>
      <c r="C42" s="218">
        <f>'7.sz.Bölcsőde'!C10</f>
        <v>20959</v>
      </c>
      <c r="D42" s="208">
        <f>'7.sz.Bölcsőde'!D10</f>
        <v>20959</v>
      </c>
      <c r="E42" s="208">
        <f>'7.sz.Bölcsőde'!E10</f>
        <v>18779</v>
      </c>
      <c r="F42" s="210">
        <f>'7.sz.Bölcsőde'!F10</f>
        <v>0.89598740397919752</v>
      </c>
      <c r="G42" s="218">
        <f>'7.sz.Bölcsőde'!G10</f>
        <v>2145</v>
      </c>
      <c r="H42" s="208">
        <f>'7.sz.Bölcsőde'!H10</f>
        <v>3567</v>
      </c>
      <c r="I42" s="208">
        <f>'7.sz.Bölcsőde'!I10</f>
        <v>3122</v>
      </c>
      <c r="J42" s="209">
        <f>'7.sz.Bölcsőde'!J10</f>
        <v>0.87524530417717972</v>
      </c>
      <c r="K42" s="218">
        <f>'7.sz.Bölcsőde'!K10</f>
        <v>0</v>
      </c>
      <c r="L42" s="208">
        <f>'7.sz.Bölcsőde'!L10</f>
        <v>87</v>
      </c>
      <c r="M42" s="208">
        <f>'7.sz.Bölcsőde'!M10</f>
        <v>87</v>
      </c>
      <c r="N42" s="209">
        <f>'7.sz.Bölcsőde'!N10</f>
        <v>1</v>
      </c>
      <c r="O42" s="218">
        <f>'7.sz.Bölcsőde'!O10</f>
        <v>0</v>
      </c>
      <c r="P42" s="208">
        <f>'7.sz.Bölcsőde'!P10</f>
        <v>0</v>
      </c>
      <c r="Q42" s="208">
        <f>'7.sz.Bölcsőde'!Q10</f>
        <v>0</v>
      </c>
      <c r="R42" s="210" t="s">
        <v>78</v>
      </c>
      <c r="S42" s="218">
        <f t="shared" si="1"/>
        <v>23104</v>
      </c>
      <c r="T42" s="208">
        <f t="shared" si="2"/>
        <v>24613</v>
      </c>
      <c r="U42" s="208">
        <f t="shared" si="3"/>
        <v>21988</v>
      </c>
      <c r="V42" s="209">
        <f t="shared" si="21"/>
        <v>0.8933490431885589</v>
      </c>
      <c r="W42" s="218">
        <f>'7.sz.Bölcsőde'!W10</f>
        <v>0</v>
      </c>
      <c r="X42" s="208">
        <f>'7.sz.Bölcsőde'!X10</f>
        <v>1374</v>
      </c>
      <c r="Y42" s="208">
        <f>'7.sz.Bölcsőde'!Y10</f>
        <v>652</v>
      </c>
      <c r="Z42" s="210">
        <f>'7.sz.Bölcsőde'!Z10</f>
        <v>0.47452692867540031</v>
      </c>
      <c r="AA42" s="218">
        <f>'7.sz.Bölcsőde'!AA10</f>
        <v>13551</v>
      </c>
      <c r="AB42" s="208">
        <f>'7.sz.Bölcsőde'!AB10</f>
        <v>0</v>
      </c>
      <c r="AC42" s="208">
        <f>'7.sz.Bölcsőde'!AC10</f>
        <v>0</v>
      </c>
      <c r="AD42" s="222">
        <v>0</v>
      </c>
      <c r="AE42" s="218">
        <f>'7.sz.Bölcsőde'!AE10</f>
        <v>9553</v>
      </c>
      <c r="AF42" s="208">
        <f>'7.sz.Bölcsőde'!AF10</f>
        <v>23239</v>
      </c>
      <c r="AG42" s="208">
        <f>'7.sz.Bölcsőde'!AG10</f>
        <v>22830</v>
      </c>
      <c r="AH42" s="210">
        <f>'7.sz.Bölcsőde'!AH10</f>
        <v>0.98240027539911357</v>
      </c>
      <c r="AI42" s="218">
        <f t="shared" si="4"/>
        <v>23104</v>
      </c>
      <c r="AJ42" s="208">
        <f t="shared" si="5"/>
        <v>24613</v>
      </c>
      <c r="AK42" s="208">
        <f t="shared" si="6"/>
        <v>23482</v>
      </c>
      <c r="AL42" s="209">
        <f t="shared" si="6"/>
        <v>1.4569272040745138</v>
      </c>
      <c r="AM42" s="207">
        <v>8</v>
      </c>
      <c r="AN42" s="20">
        <v>1</v>
      </c>
      <c r="AO42" s="26">
        <v>0</v>
      </c>
    </row>
    <row r="43" spans="1:41" s="235" customFormat="1" ht="15.75" thickBot="1">
      <c r="A43" s="233" t="s">
        <v>42</v>
      </c>
      <c r="B43" s="234" t="s">
        <v>16</v>
      </c>
      <c r="C43" s="239">
        <f>'9.sz.KSZKI'!C19</f>
        <v>37814</v>
      </c>
      <c r="D43" s="240">
        <f>'9.sz.KSZKI'!D19</f>
        <v>46185</v>
      </c>
      <c r="E43" s="240">
        <f>'9.sz.KSZKI'!E19</f>
        <v>46185</v>
      </c>
      <c r="F43" s="241">
        <f>'9.sz.KSZKI'!F19</f>
        <v>1</v>
      </c>
      <c r="G43" s="239">
        <f>'9.sz.KSZKI'!G19</f>
        <v>51500</v>
      </c>
      <c r="H43" s="240">
        <f>'9.sz.KSZKI'!H19</f>
        <v>59104</v>
      </c>
      <c r="I43" s="240">
        <f>'9.sz.KSZKI'!I19</f>
        <v>55975</v>
      </c>
      <c r="J43" s="242">
        <f>'9.sz.KSZKI'!J19</f>
        <v>0.94705942068218729</v>
      </c>
      <c r="K43" s="218">
        <f>'9.sz.KSZKI'!K19</f>
        <v>0</v>
      </c>
      <c r="L43" s="208">
        <f>'9.sz.KSZKI'!L19</f>
        <v>1579</v>
      </c>
      <c r="M43" s="208">
        <f>'9.sz.KSZKI'!M19</f>
        <v>1579</v>
      </c>
      <c r="N43" s="209">
        <f>'9.sz.KSZKI'!N19</f>
        <v>1</v>
      </c>
      <c r="O43" s="239">
        <f>'9.sz.KSZKI'!O19</f>
        <v>0</v>
      </c>
      <c r="P43" s="240">
        <f>'9.sz.KSZKI'!P19</f>
        <v>6517</v>
      </c>
      <c r="Q43" s="240">
        <f>'9.sz.KSZKI'!Q19</f>
        <v>6464</v>
      </c>
      <c r="R43" s="241">
        <f>'9.sz.KSZKI'!R19</f>
        <v>0.99186742366119385</v>
      </c>
      <c r="S43" s="218">
        <f>'9.sz.KSZKI'!S19</f>
        <v>89314</v>
      </c>
      <c r="T43" s="208">
        <f>'9.sz.KSZKI'!T19</f>
        <v>113385</v>
      </c>
      <c r="U43" s="208">
        <f>'9.sz.KSZKI'!U19</f>
        <v>110203</v>
      </c>
      <c r="V43" s="209">
        <f t="shared" si="21"/>
        <v>0.97193632314680067</v>
      </c>
      <c r="W43" s="239">
        <f>'9.sz.KSZKI'!W19</f>
        <v>25912</v>
      </c>
      <c r="X43" s="240">
        <f>'9.sz.KSZKI'!X19</f>
        <v>29093</v>
      </c>
      <c r="Y43" s="240">
        <f>'9.sz.KSZKI'!Y19</f>
        <v>32838</v>
      </c>
      <c r="Z43" s="241">
        <f>'9.sz.KSZKI'!Z19</f>
        <v>1.1287251228817929</v>
      </c>
      <c r="AA43" s="239">
        <f>'9.sz.KSZKI'!AA19</f>
        <v>41617</v>
      </c>
      <c r="AB43" s="240">
        <f>'9.sz.KSZKI'!AB19</f>
        <v>0</v>
      </c>
      <c r="AC43" s="240">
        <f>'9.sz.KSZKI'!AC19</f>
        <v>0</v>
      </c>
      <c r="AD43" s="243">
        <f>'9.sz.KSZKI'!AD19</f>
        <v>0</v>
      </c>
      <c r="AE43" s="218">
        <f>'9.sz.KSZKI'!AE19</f>
        <v>21785</v>
      </c>
      <c r="AF43" s="208">
        <f>'9.sz.KSZKI'!AF19</f>
        <v>84292</v>
      </c>
      <c r="AG43" s="208">
        <f>'9.sz.KSZKI'!AG19</f>
        <v>88308</v>
      </c>
      <c r="AH43" s="210">
        <f>'9.sz.KSZKI'!AH19</f>
        <v>1.0476439045223747</v>
      </c>
      <c r="AI43" s="218">
        <f>'9.sz.KSZKI'!AI19</f>
        <v>89314</v>
      </c>
      <c r="AJ43" s="208">
        <f>'9.sz.KSZKI'!AJ19</f>
        <v>113385</v>
      </c>
      <c r="AK43" s="208">
        <f>'9.sz.KSZKI'!AK19</f>
        <v>121146</v>
      </c>
      <c r="AL43" s="209">
        <f>'9.sz.KSZKI'!AL19</f>
        <v>1.0684482074348458</v>
      </c>
      <c r="AM43" s="207">
        <v>22</v>
      </c>
      <c r="AN43" s="20">
        <v>1</v>
      </c>
      <c r="AO43" s="26">
        <v>0</v>
      </c>
    </row>
    <row r="44" spans="1:41" s="235" customFormat="1" ht="0.75" customHeight="1" thickBot="1">
      <c r="A44" s="251" t="s">
        <v>43</v>
      </c>
      <c r="B44" s="252" t="s">
        <v>17</v>
      </c>
      <c r="C44" s="245">
        <v>0</v>
      </c>
      <c r="D44" s="245"/>
      <c r="E44" s="245"/>
      <c r="F44" s="253"/>
      <c r="G44" s="245">
        <v>0</v>
      </c>
      <c r="H44" s="245"/>
      <c r="I44" s="245"/>
      <c r="J44" s="254"/>
      <c r="K44" s="255"/>
      <c r="L44" s="256"/>
      <c r="M44" s="256"/>
      <c r="N44" s="257"/>
      <c r="O44" s="258"/>
      <c r="P44" s="245"/>
      <c r="Q44" s="245"/>
      <c r="R44" s="259"/>
      <c r="S44" s="255">
        <f t="shared" si="1"/>
        <v>0</v>
      </c>
      <c r="T44" s="256">
        <f t="shared" si="2"/>
        <v>0</v>
      </c>
      <c r="U44" s="256">
        <f t="shared" si="3"/>
        <v>0</v>
      </c>
      <c r="V44" s="260"/>
      <c r="W44" s="244">
        <v>0</v>
      </c>
      <c r="X44" s="244"/>
      <c r="Y44" s="244"/>
      <c r="Z44" s="261"/>
      <c r="AA44" s="245"/>
      <c r="AB44" s="245"/>
      <c r="AC44" s="245"/>
      <c r="AD44" s="262"/>
      <c r="AE44" s="255">
        <v>0</v>
      </c>
      <c r="AF44" s="256"/>
      <c r="AG44" s="256"/>
      <c r="AH44" s="263"/>
      <c r="AI44" s="255">
        <f t="shared" si="4"/>
        <v>0</v>
      </c>
      <c r="AJ44" s="256">
        <f t="shared" si="5"/>
        <v>0</v>
      </c>
      <c r="AK44" s="256">
        <f t="shared" si="6"/>
        <v>0</v>
      </c>
      <c r="AL44" s="268">
        <f>'2.sz.Önkormányzat'!AL41</f>
        <v>0</v>
      </c>
      <c r="AM44" s="207">
        <v>2</v>
      </c>
      <c r="AN44" s="20">
        <v>0</v>
      </c>
      <c r="AO44" s="26">
        <v>0</v>
      </c>
    </row>
    <row r="45" spans="1:41" ht="15.75" thickBot="1">
      <c r="A45" s="264"/>
      <c r="B45" s="265" t="s">
        <v>18</v>
      </c>
      <c r="C45" s="266">
        <f>SUM(C7,C29,C24,C32,C39,C40,C41,C42,C43,C44)</f>
        <v>434509</v>
      </c>
      <c r="D45" s="266">
        <f>SUM(D7,D29,D24,D32,D39,D40,D41,D42,D43,D44)</f>
        <v>461400</v>
      </c>
      <c r="E45" s="266">
        <f>SUM(E7,E29,E24,E32,E39,E40,E41,E42,E43,E44)</f>
        <v>428652</v>
      </c>
      <c r="F45" s="267">
        <f>E45/D45</f>
        <v>0.92902470741222365</v>
      </c>
      <c r="G45" s="266">
        <f>SUM(G7,G29,G32,G39,G40,G41,G42,G43,G44)</f>
        <v>227847</v>
      </c>
      <c r="H45" s="266">
        <f>SUM(H7,H29,H32,H39,H40,H41,H42,H43,H44)</f>
        <v>275715</v>
      </c>
      <c r="I45" s="266">
        <f>SUM(I7,I29,I32,I39,I40,I41,I42,I43,I44)</f>
        <v>259941</v>
      </c>
      <c r="J45" s="267">
        <f>I45/H45</f>
        <v>0.94278874925194489</v>
      </c>
      <c r="K45" s="266">
        <f>SUM(K7,K29,K24,K32,K39,K40,K41,K42,K43,K44)</f>
        <v>49164</v>
      </c>
      <c r="L45" s="266">
        <f>SUM(L7,L29,L24,L32,L39,L40,L41,L42,L43,L44)</f>
        <v>72545</v>
      </c>
      <c r="M45" s="266">
        <f>SUM(M7,M29,M24,M32,M39,M40,M41,M42,M43,M44)</f>
        <v>69470</v>
      </c>
      <c r="N45" s="267">
        <f>M45/L45</f>
        <v>0.95761251636915024</v>
      </c>
      <c r="O45" s="266">
        <f>SUM(O7,O29,O24,O32,O39,O40,O41,O42,O43,O44)</f>
        <v>234266</v>
      </c>
      <c r="P45" s="266">
        <f>SUM(P7,P29,P24,P32,P39,P40,P41,P42,P43,P44)</f>
        <v>445443</v>
      </c>
      <c r="Q45" s="266">
        <f>SUM(Q7,Q29,Q24,Q32,Q39,Q40,Q41,Q42,Q43,Q44)</f>
        <v>406986</v>
      </c>
      <c r="R45" s="267">
        <f>Q45/P45</f>
        <v>0.9136657215401297</v>
      </c>
      <c r="S45" s="266">
        <f t="shared" si="1"/>
        <v>945786</v>
      </c>
      <c r="T45" s="266">
        <f t="shared" si="2"/>
        <v>1255103</v>
      </c>
      <c r="U45" s="266">
        <f t="shared" si="3"/>
        <v>1165049</v>
      </c>
      <c r="V45" s="267">
        <f>U45/T45</f>
        <v>0.92824971337013773</v>
      </c>
      <c r="W45" s="266">
        <f>SUM(W7,W29,W32,W39,W40,W41,W42,W43,W44)</f>
        <v>507290</v>
      </c>
      <c r="X45" s="266">
        <f>SUM(X7,X29,X32,X39,X40,X41,X42,X43,X44)</f>
        <v>452800</v>
      </c>
      <c r="Y45" s="266">
        <f>SUM(Y7,Y29,Y32,Y39,Y40,Y41,Y42,Y43,Y44)</f>
        <v>450468</v>
      </c>
      <c r="Z45" s="267">
        <f>Y45/X45</f>
        <v>0.9948498233215548</v>
      </c>
      <c r="AA45" s="266">
        <f>SUM(AA7,AA29,AA32,AA39,AA40,AA41,AA42,AA43,AA44)</f>
        <v>337064</v>
      </c>
      <c r="AB45" s="266">
        <f>SUM(AB7,AB29,AB32,AB39,AB40,AB41,AB42,AB43,AB44)</f>
        <v>469082</v>
      </c>
      <c r="AC45" s="266">
        <f>SUM(AC7,AC29,AC32,AC39,AC40,AC41,AC42,AC43,AC44)</f>
        <v>469082</v>
      </c>
      <c r="AD45" s="267">
        <f>AC45/AB45</f>
        <v>1</v>
      </c>
      <c r="AE45" s="266">
        <f>SUM(AE7,AE29,AE32,AE39,AE40,AE41,AE42,AE43,AE44)</f>
        <v>103779</v>
      </c>
      <c r="AF45" s="266">
        <f>SUM(AF7,AF29,AF32,AF39,AF40,AF41,AF42,AF43,AF44)</f>
        <v>333221</v>
      </c>
      <c r="AG45" s="266">
        <f>SUM(AG7,AG29,AG32,AG39,AG40,AG41,AG42,AG43,AG44)</f>
        <v>320085</v>
      </c>
      <c r="AH45" s="267">
        <f>AG45/AF45</f>
        <v>0.96057871502696413</v>
      </c>
      <c r="AI45" s="266">
        <f>W45+AA45+AE45</f>
        <v>948133</v>
      </c>
      <c r="AJ45" s="266">
        <f t="shared" si="5"/>
        <v>1255103</v>
      </c>
      <c r="AK45" s="266">
        <f>Y45+AC45+AG45</f>
        <v>1239635</v>
      </c>
      <c r="AL45" s="269">
        <f>AK45/AJ45</f>
        <v>0.9876759118574332</v>
      </c>
      <c r="AM45" s="275">
        <f>AM7+AM29+AM32+AM39+AM40+AM41+AM42+AM43+AM44</f>
        <v>105</v>
      </c>
      <c r="AN45" s="276">
        <f t="shared" ref="AN45:AO45" si="22">AN7+AN29+AN32+AN39+AN40+AN41+AN42+AN43+AN44</f>
        <v>3</v>
      </c>
      <c r="AO45" s="277">
        <f t="shared" si="22"/>
        <v>103</v>
      </c>
    </row>
    <row r="46" spans="1:41">
      <c r="B46" s="246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</row>
    <row r="47" spans="1:41">
      <c r="B47" s="248" t="str">
        <f>Tartalomjegyzék!A20</f>
        <v>Cibakháza, 2016. május 31.</v>
      </c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</row>
    <row r="48" spans="1:41">
      <c r="C48" s="249" t="s">
        <v>46</v>
      </c>
      <c r="G48" s="249" t="s">
        <v>47</v>
      </c>
      <c r="K48" s="249" t="s">
        <v>48</v>
      </c>
      <c r="O48" s="249" t="s">
        <v>49</v>
      </c>
      <c r="S48" s="249" t="s">
        <v>50</v>
      </c>
      <c r="W48" s="249" t="s">
        <v>51</v>
      </c>
      <c r="AA48" s="249" t="s">
        <v>52</v>
      </c>
      <c r="AE48" s="249" t="s">
        <v>53</v>
      </c>
      <c r="AI48" s="249" t="s">
        <v>50</v>
      </c>
    </row>
    <row r="49" spans="2:37">
      <c r="B49" s="250" t="s">
        <v>42</v>
      </c>
      <c r="C49" s="249">
        <f>C8+C12+C13+C15+C16+C17+C19+C20+C22+C23+C31+C33+C34+C35+C39+C40+C41+C43</f>
        <v>344863</v>
      </c>
      <c r="D49" s="249">
        <f>D8+D12+D14+D15+D16+D17+D19+D20+D22+D23+D31+D33+D34+D35+D39+D40+D41+D43+D37</f>
        <v>352327</v>
      </c>
      <c r="E49" s="249">
        <f>E8+E12+E14+E15+E16+E17+E19+E20+E22+E23+E31+E33+E34+E35+E39+E40+E41+E43+E37</f>
        <v>322823</v>
      </c>
      <c r="G49" s="249">
        <f>G8+G12+G13+G15+G16+G17+G19+G20+G22+G23+G31+G33+G34+G35+G39+G40+G41+G43</f>
        <v>174430</v>
      </c>
      <c r="H49" s="249">
        <f>H8+H12+H13+H15+H16+H17+H19+H20+H22+H23+H31+H33+H34+H35+H39+H40+H41+H43+H26+H14</f>
        <v>194147</v>
      </c>
      <c r="I49" s="249">
        <f>I8+I12+I13+I15+I16+I17+I19+I20+I22+I23+I31+I33+I34+I35+I39+I40+I41+I43+I26+I14</f>
        <v>181677</v>
      </c>
      <c r="K49" s="249">
        <f>K8+K12+K13+K15+K16+K17+K19+K20+K22+K23+K31+K33+K34+K35+K39+K40+K41+K43</f>
        <v>22000</v>
      </c>
      <c r="L49" s="249">
        <f>L8+L12+L13+L15+L16+L17+L19+L20+L22+L23+L31+L33+L34+L35+L39+L40+L41+L43+L26</f>
        <v>24298</v>
      </c>
      <c r="M49" s="249">
        <f>M8+M12+M13+M15+M16+M17+M19+M20+M22+M23+M31+M33+M34+M35+M39+M40+M41+M43+M26</f>
        <v>16206</v>
      </c>
      <c r="O49" s="249">
        <f>O8+O12+O13+O15+O16+O17+O19+O20+O22+O23+O29+O33+O34+O35+O39+O40+O41+O43</f>
        <v>234266</v>
      </c>
      <c r="P49" s="249">
        <f>P11+P12+P14+P15+P16+P17+P19+P20+P22+P23+P29+P33+P34+P35+P39+P40+P41+P43</f>
        <v>445443</v>
      </c>
      <c r="Q49" s="249">
        <f>Q11+Q12+Q14+Q15+Q16+Q17+Q19+Q20+Q22+Q23+Q29+Q33+Q34+Q35+Q39+Q40+Q41+Q43</f>
        <v>404736</v>
      </c>
      <c r="S49" s="249">
        <f>S8+S12+S13+S15+S16+S17+S19+S20+S22+S23+S31+S33+S34+S35+S39+S40+S41+S43</f>
        <v>775559</v>
      </c>
      <c r="T49" s="249">
        <f>T8+T12+T13+T15+T16+T17+T19+T20+T22+T23+T31+T33+T34+T35+T39+T40+T41+T43+T25+T27+T14+T37</f>
        <v>1008576</v>
      </c>
      <c r="U49" s="249">
        <f>U8+U12+U13+U15+U16+U17+U19+U20+U22+U23+U31+U33+U34+U35+U39+U40+U41+U43+U25+U27+U14+U37</f>
        <v>927457</v>
      </c>
      <c r="W49" s="249">
        <f>W8+W12+W13+W15+W16+W17+W19+W20+W22+W23+W31+W33+W34+W35+W39+W40+W41+W43</f>
        <v>369513</v>
      </c>
      <c r="X49" s="249">
        <f>X8+X12+X13+X15+X16+X17+X19+X20+X22+X23+X31+X33+X34+X35+X39+X40+X41+X43+X28+X37</f>
        <v>359407</v>
      </c>
      <c r="Y49" s="249">
        <f>Y8+Y12+Y13+Y15+Y16+Y17+Y19+Y20+Y22+Y23+Y31+Y33+Y34+Y35+Y39+Y40+Y41+Y43+Y28+Y37+Y27</f>
        <v>365150</v>
      </c>
      <c r="AA49" s="249">
        <f>AA8+AA12+AA13+AA15+AA16+AA17+AA19+AA20+AA22+AA23+AA31+AA33+AA34+AA35+AA39+AA40+AA41+AA43</f>
        <v>247540</v>
      </c>
      <c r="AB49" s="249">
        <f t="shared" ref="AB49:AC49" si="23">AB8+AB12+AB13+AB15+AB16+AB17+AB19+AB20+AB22+AB23+AB31+AB33+AB34+AB35+AB39+AB40+AB41+AB43</f>
        <v>0</v>
      </c>
      <c r="AC49" s="249">
        <f t="shared" si="23"/>
        <v>0</v>
      </c>
      <c r="AE49" s="249">
        <f>AE8+AE12+AE13+AE15+AE16+AE17+AE19+AE20+AE22+AE23+AE31+AE33+AE34+AE35+AE39+AE40+AE41+AE43</f>
        <v>58846</v>
      </c>
      <c r="AF49" s="249">
        <f>AF8+AF12+AF14+AF15+AF16+AF17+AF19+AF20+AF22+AF23+AF31+AF33+AF34+AF38+AF39+AF40+AF41+AF43</f>
        <v>294029</v>
      </c>
      <c r="AG49" s="249">
        <f>AG8+AG12+AG14+AG15+AG16+AG17+AG19+AG20+AG22+AG23+AG31+AG33+AG34+AG38+AG39+AG40+AG41+AG43</f>
        <v>281302</v>
      </c>
      <c r="AI49" s="249">
        <f>AI8+AI12+AI13+AI15+AI16+AI17+AI19+AI20+AI22+AI23+AI31+AI33+AI34+AI35+AI39+AI40+AI41+AI43</f>
        <v>675899</v>
      </c>
      <c r="AJ49" s="249">
        <f>AJ8+AJ13+AJ15+AJ16+AJ17+AJ19+AJ20+AJ22+AJ23+AJ31+AJ33+AJ34+AJ37+AJ39+AJ40+AJ41+AJ43+AJ28+AJ38</f>
        <v>641021</v>
      </c>
      <c r="AK49" s="249">
        <f>AK8+AK13+AK15+AK16+AK17+AK19+AK20+AK22+AK23+AK31+AK33+AK34+AK37+AK39+AK40+AK41+AK43+AK28+AK38+AK27</f>
        <v>634037</v>
      </c>
    </row>
    <row r="50" spans="2:37">
      <c r="B50" s="250" t="s">
        <v>43</v>
      </c>
      <c r="C50" s="249">
        <f>C9+C10+C11+C18+C21+C24+C36+C42+C44</f>
        <v>28044</v>
      </c>
      <c r="D50" s="249">
        <f>D9+D10+D11+D18+D21+D24+D36+D42+D44</f>
        <v>29897</v>
      </c>
      <c r="E50" s="249">
        <f>E9+E10+E11+E18+E21+E24+E36+E42+E44</f>
        <v>27717</v>
      </c>
      <c r="G50" s="249">
        <f>G9+G10+G11+G18+G21+G24+G36+G42+G44</f>
        <v>44813</v>
      </c>
      <c r="H50" s="249">
        <f>H9+H10+H11+H18+H21+H24+H36+H42+H44</f>
        <v>69754</v>
      </c>
      <c r="I50" s="249">
        <f>I9+I10+I11+I18+I21+I24+I36+I42+I44+I27</f>
        <v>68107</v>
      </c>
      <c r="K50" s="249">
        <f>K9+K10+K11+K18+K21+K24+K36+K42+K44</f>
        <v>27164</v>
      </c>
      <c r="L50" s="249">
        <f>L9+L10+L11+L18+L21+L24+L36+L42+L44+L27</f>
        <v>47776</v>
      </c>
      <c r="M50" s="249">
        <f>M9+M10+M11+M18+M21+M24+M36+M42+M44+M27</f>
        <v>52793</v>
      </c>
      <c r="O50" s="249">
        <f>O9+O10+O11+O18+O21+O24+O36+O42+O44</f>
        <v>0</v>
      </c>
      <c r="Q50" s="249">
        <f>Q18</f>
        <v>2250</v>
      </c>
      <c r="S50" s="249">
        <f>S9+S10+S11+S18+S21+S24+S36+S42+S44</f>
        <v>100021</v>
      </c>
      <c r="T50" s="249">
        <f>T9+T10+T11+T18+T21+T24+T36+T42+T44+T26</f>
        <v>151214</v>
      </c>
      <c r="U50" s="249">
        <f>U9+U10+U11+U18+U21+U24+U36+U42+U44+U26</f>
        <v>161086</v>
      </c>
      <c r="W50" s="249">
        <f>W9+W10+W11+W18+W21+W24+W36+W42+W44+W14</f>
        <v>137777</v>
      </c>
      <c r="X50" s="249">
        <f>X9+X10+X11+X18+X21+X24+X36+X42+X44+X14</f>
        <v>76642</v>
      </c>
      <c r="Y50" s="249">
        <f>Y9+Y10+Y11+Y18+Y21+Y24+Y36+Y42+Y44+Y14+Y26</f>
        <v>68567</v>
      </c>
      <c r="AA50" s="249">
        <f>AA9+AA10+AA11+AA18+AA21+AA24+AA36+AA42+AA44+AA14</f>
        <v>26915</v>
      </c>
      <c r="AB50" s="249">
        <f t="shared" ref="AB50:AC50" si="24">AB9+AB10+AB11+AB18+AB21+AB24+AB36+AB42+AB44+AB14</f>
        <v>406473</v>
      </c>
      <c r="AC50" s="249">
        <f t="shared" si="24"/>
        <v>406473</v>
      </c>
      <c r="AE50" s="249">
        <f>AE9+AE10+AE11+AE18+AE21+AE24+AE36+AE42+AE44</f>
        <v>23958</v>
      </c>
      <c r="AF50" s="249">
        <f t="shared" ref="AF50:AG50" si="25">AF9+AF10+AF11+AF18+AF21+AF24+AF36+AF42+AF44</f>
        <v>23239</v>
      </c>
      <c r="AG50" s="249">
        <f t="shared" si="25"/>
        <v>22830</v>
      </c>
      <c r="AI50" s="249">
        <f>AI9+AI10+AI11+AI18+AI21+AI24+AI36+AI42+AI44+AI14</f>
        <v>188650</v>
      </c>
      <c r="AJ50" s="249">
        <f>AJ9+AJ10+AJ11+AJ18+AJ21+AJ24+AJ36+AJ42+AJ44+AJ14</f>
        <v>518769</v>
      </c>
      <c r="AK50" s="249">
        <f>AK9+AK10+AK11+AK18+AK21+AK24+AK36+AK42+AK44+AK14+AK26</f>
        <v>510285</v>
      </c>
    </row>
    <row r="51" spans="2:37">
      <c r="B51" s="250" t="s">
        <v>45</v>
      </c>
      <c r="C51" s="249">
        <f>C30</f>
        <v>61602</v>
      </c>
      <c r="D51" s="249">
        <f>D30+D25</f>
        <v>79176</v>
      </c>
      <c r="E51" s="249">
        <f>E30+E25</f>
        <v>78112</v>
      </c>
      <c r="G51" s="249">
        <f>G30</f>
        <v>8604</v>
      </c>
      <c r="H51" s="249">
        <f t="shared" ref="H51:I51" si="26">H30</f>
        <v>11814</v>
      </c>
      <c r="I51" s="249">
        <f t="shared" si="26"/>
        <v>10157</v>
      </c>
      <c r="K51" s="249">
        <f>K30</f>
        <v>0</v>
      </c>
      <c r="L51" s="249">
        <f t="shared" ref="L51:M51" si="27">L30</f>
        <v>471</v>
      </c>
      <c r="M51" s="249">
        <f t="shared" si="27"/>
        <v>471</v>
      </c>
      <c r="O51" s="249">
        <f t="shared" ref="O51:AI51" si="28">O30</f>
        <v>0</v>
      </c>
      <c r="S51" s="249">
        <f t="shared" si="28"/>
        <v>70206</v>
      </c>
      <c r="T51" s="249">
        <f t="shared" ref="T51:U51" si="29">T30</f>
        <v>95313</v>
      </c>
      <c r="U51" s="249">
        <f t="shared" si="29"/>
        <v>76506</v>
      </c>
      <c r="W51" s="249">
        <f t="shared" si="28"/>
        <v>0</v>
      </c>
      <c r="X51" s="249">
        <f t="shared" ref="X51:Y51" si="30">X30</f>
        <v>16751</v>
      </c>
      <c r="Y51" s="249">
        <f t="shared" si="30"/>
        <v>16751</v>
      </c>
      <c r="AA51" s="249">
        <f>AA30</f>
        <v>62609</v>
      </c>
      <c r="AB51" s="249">
        <f t="shared" ref="AB51:AC51" si="31">AB30</f>
        <v>62609</v>
      </c>
      <c r="AC51" s="249">
        <f t="shared" si="31"/>
        <v>62609</v>
      </c>
      <c r="AE51" s="249">
        <f t="shared" si="28"/>
        <v>20975</v>
      </c>
      <c r="AF51" s="249">
        <f t="shared" ref="AF51:AG51" si="32">AF30</f>
        <v>15953</v>
      </c>
      <c r="AG51" s="249">
        <f t="shared" si="32"/>
        <v>15953</v>
      </c>
      <c r="AI51" s="249">
        <f t="shared" si="28"/>
        <v>83584</v>
      </c>
      <c r="AJ51" s="249">
        <f t="shared" ref="AJ51:AK51" si="33">AJ30</f>
        <v>95313</v>
      </c>
      <c r="AK51" s="249">
        <f t="shared" si="33"/>
        <v>95313</v>
      </c>
    </row>
    <row r="52" spans="2:37">
      <c r="C52" s="249">
        <f>SUM(C49:C51)</f>
        <v>434509</v>
      </c>
      <c r="D52" s="249">
        <f t="shared" ref="D52:E52" si="34">SUM(D49:D51)</f>
        <v>461400</v>
      </c>
      <c r="E52" s="249">
        <f t="shared" si="34"/>
        <v>428652</v>
      </c>
      <c r="G52" s="249">
        <f t="shared" ref="G52:AE52" si="35">SUM(G49:G51)</f>
        <v>227847</v>
      </c>
      <c r="H52" s="249">
        <f t="shared" ref="H52:I52" si="36">SUM(H49:H51)</f>
        <v>275715</v>
      </c>
      <c r="I52" s="249">
        <f t="shared" si="36"/>
        <v>259941</v>
      </c>
      <c r="K52" s="249">
        <f t="shared" si="35"/>
        <v>49164</v>
      </c>
      <c r="L52" s="249">
        <f t="shared" ref="L52:M52" si="37">SUM(L49:L51)</f>
        <v>72545</v>
      </c>
      <c r="M52" s="249">
        <f t="shared" si="37"/>
        <v>69470</v>
      </c>
      <c r="O52" s="249">
        <f t="shared" si="35"/>
        <v>234266</v>
      </c>
      <c r="P52" s="249">
        <f t="shared" si="35"/>
        <v>445443</v>
      </c>
      <c r="Q52" s="249">
        <f t="shared" si="35"/>
        <v>406986</v>
      </c>
      <c r="S52" s="249">
        <f t="shared" si="35"/>
        <v>945786</v>
      </c>
      <c r="T52" s="249">
        <f t="shared" si="35"/>
        <v>1255103</v>
      </c>
      <c r="U52" s="249">
        <f t="shared" si="35"/>
        <v>1165049</v>
      </c>
      <c r="W52" s="249">
        <f>SUM(W49:W51)</f>
        <v>507290</v>
      </c>
      <c r="X52" s="249">
        <f t="shared" ref="X52:Y52" si="38">SUM(X49:X51)</f>
        <v>452800</v>
      </c>
      <c r="Y52" s="249">
        <f t="shared" si="38"/>
        <v>450468</v>
      </c>
      <c r="AA52" s="249">
        <f t="shared" si="35"/>
        <v>337064</v>
      </c>
      <c r="AB52" s="249">
        <f t="shared" ref="AB52:AC52" si="39">SUM(AB49:AB51)</f>
        <v>469082</v>
      </c>
      <c r="AC52" s="249">
        <f t="shared" si="39"/>
        <v>469082</v>
      </c>
      <c r="AE52" s="249">
        <f t="shared" si="35"/>
        <v>103779</v>
      </c>
      <c r="AF52" s="249">
        <f t="shared" ref="AF52:AG52" si="40">SUM(AF49:AF51)</f>
        <v>333221</v>
      </c>
      <c r="AG52" s="249">
        <f t="shared" si="40"/>
        <v>320085</v>
      </c>
      <c r="AI52" s="249">
        <f>SUM(AI49:AI51)</f>
        <v>948133</v>
      </c>
      <c r="AJ52" s="249">
        <f t="shared" ref="AJ52:AK52" si="41">SUM(AJ49:AJ51)</f>
        <v>1255103</v>
      </c>
      <c r="AK52" s="249">
        <f t="shared" si="41"/>
        <v>1239635</v>
      </c>
    </row>
    <row r="54" spans="2:37">
      <c r="B54" s="250" t="s">
        <v>507</v>
      </c>
      <c r="C54" s="249">
        <f>'2.sz.Önkormányzat'!C28+'3.sz.Cházi Közös Önk.Hiv.'!C9+'4.sz.Óvoda'!C13+'5.sz.Könyvtár'!C9+'6.sz.Műv.Ház'!C9+'8.sz.CSSK'!C12+'7.sz.Bölcsőde'!C10+'9.sz.KSZKI'!C19</f>
        <v>434509</v>
      </c>
      <c r="D54" s="249">
        <f>'2.sz.Önkormányzat'!D28+'3.sz.Cházi Közös Önk.Hiv.'!D9+'4.sz.Óvoda'!D13+'5.sz.Könyvtár'!D9+'6.sz.Műv.Ház'!D9+'8.sz.CSSK'!D12+'7.sz.Bölcsőde'!D10+'9.sz.KSZKI'!D19</f>
        <v>461400</v>
      </c>
      <c r="E54" s="249">
        <f>'2.sz.Önkormányzat'!E28+'3.sz.Cházi Közös Önk.Hiv.'!E9+'4.sz.Óvoda'!E13+'5.sz.Könyvtár'!E9+'6.sz.Műv.Ház'!E9+'8.sz.CSSK'!E12+'7.sz.Bölcsőde'!E10+'9.sz.KSZKI'!E19</f>
        <v>428652</v>
      </c>
      <c r="G54" s="249">
        <f>'2.sz.Önkormányzat'!G28+'3.sz.Cházi Közös Önk.Hiv.'!G9+'4.sz.Óvoda'!G13+'5.sz.Könyvtár'!G9+'6.sz.Műv.Ház'!G9+'8.sz.CSSK'!G12+'7.sz.Bölcsőde'!G10+'9.sz.KSZKI'!G19</f>
        <v>227847</v>
      </c>
      <c r="H54" s="249">
        <f>'2.sz.Önkormányzat'!H28+'3.sz.Cházi Közös Önk.Hiv.'!H9+'4.sz.Óvoda'!H13+'5.sz.Könyvtár'!H9+'6.sz.Műv.Ház'!H9+'8.sz.CSSK'!H12+'7.sz.Bölcsőde'!H10+'9.sz.KSZKI'!H19</f>
        <v>275715</v>
      </c>
      <c r="I54" s="249">
        <f>'2.sz.Önkormányzat'!I28+'3.sz.Cházi Közös Önk.Hiv.'!I9+'4.sz.Óvoda'!I13+'5.sz.Könyvtár'!I9+'6.sz.Műv.Ház'!I9+'8.sz.CSSK'!I12+'7.sz.Bölcsőde'!I10+'9.sz.KSZKI'!I19</f>
        <v>259941</v>
      </c>
      <c r="K54" s="249">
        <f>'2.sz.Önkormányzat'!K28+'3.sz.Cházi Közös Önk.Hiv.'!K9+'4.sz.Óvoda'!K13+'5.sz.Könyvtár'!K9+'6.sz.Műv.Ház'!K9+'8.sz.CSSK'!K12+'7.sz.Bölcsőde'!K10+'9.sz.KSZKI'!K19</f>
        <v>49164</v>
      </c>
      <c r="L54" s="249">
        <f>'2.sz.Önkormányzat'!L28+'3.sz.Cházi Közös Önk.Hiv.'!L9+'4.sz.Óvoda'!L13+'5.sz.Könyvtár'!L9+'6.sz.Műv.Ház'!L9+'8.sz.CSSK'!L12+'7.sz.Bölcsőde'!L10+'9.sz.KSZKI'!L19</f>
        <v>72545</v>
      </c>
      <c r="M54" s="249">
        <f>'2.sz.Önkormányzat'!M28+'3.sz.Cházi Közös Önk.Hiv.'!M9+'4.sz.Óvoda'!M13+'5.sz.Könyvtár'!M9+'6.sz.Műv.Ház'!M9+'8.sz.CSSK'!M12+'7.sz.Bölcsőde'!M10+'9.sz.KSZKI'!M19</f>
        <v>69470</v>
      </c>
      <c r="O54" s="249">
        <f>'2.sz.Önkormányzat'!O28+'3.sz.Cházi Közös Önk.Hiv.'!O9+'4.sz.Óvoda'!O13+'5.sz.Könyvtár'!O9+'6.sz.Műv.Ház'!O9+'7.sz.Bölcsőde'!O10+'8.sz.CSSK'!O12+'9.sz.KSZKI'!O19</f>
        <v>234266</v>
      </c>
      <c r="P54" s="249">
        <f>'2.sz.Önkormányzat'!P28+'3.sz.Cházi Közös Önk.Hiv.'!P9+'4.sz.Óvoda'!P13+'5.sz.Könyvtár'!P9+'6.sz.Műv.Ház'!P9+'7.sz.Bölcsőde'!P10+'8.sz.CSSK'!P12+'9.sz.KSZKI'!P19</f>
        <v>445443</v>
      </c>
      <c r="Q54" s="249">
        <f>'2.sz.Önkormányzat'!Q28+'3.sz.Cházi Közös Önk.Hiv.'!Q9+'4.sz.Óvoda'!Q13+'5.sz.Könyvtár'!Q9+'6.sz.Műv.Ház'!Q9+'7.sz.Bölcsőde'!Q10+'8.sz.CSSK'!Q12+'9.sz.KSZKI'!Q19</f>
        <v>406986</v>
      </c>
      <c r="S54" s="249">
        <f>'2.sz.Önkormányzat'!S28+'3.sz.Cházi Közös Önk.Hiv.'!S9+'4.sz.Óvoda'!S13+'5.sz.Könyvtár'!S9+'6.sz.Műv.Ház'!S9+'7.sz.Bölcsőde'!S10+'8.sz.CSSK'!S12+'9.sz.KSZKI'!S19</f>
        <v>945786</v>
      </c>
      <c r="T54" s="249">
        <f>'2.sz.Önkormányzat'!T28+'3.sz.Cházi Közös Önk.Hiv.'!T9+'4.sz.Óvoda'!T13+'5.sz.Könyvtár'!T9+'6.sz.Műv.Ház'!T9+'7.sz.Bölcsőde'!T10+'8.sz.CSSK'!T12+'9.sz.KSZKI'!T19</f>
        <v>1255103</v>
      </c>
      <c r="U54" s="249">
        <f>'2.sz.Önkormányzat'!U28+'3.sz.Cházi Közös Önk.Hiv.'!U9+'4.sz.Óvoda'!U13+'5.sz.Könyvtár'!U9+'6.sz.Műv.Ház'!U9+'7.sz.Bölcsőde'!U10+'8.sz.CSSK'!U12+'9.sz.KSZKI'!U19</f>
        <v>1165049</v>
      </c>
      <c r="W54" s="249">
        <f>'2.sz.Önkormányzat'!W28+'3.sz.Cházi Közös Önk.Hiv.'!W9+'4.sz.Óvoda'!W13+'5.sz.Könyvtár'!W9+'6.sz.Műv.Ház'!W9+'7.sz.Bölcsőde'!W10+'8.sz.CSSK'!W12+'9.sz.KSZKI'!W19</f>
        <v>507290</v>
      </c>
      <c r="X54" s="249">
        <f>'2.sz.Önkormányzat'!X28+'3.sz.Cházi Közös Önk.Hiv.'!X9+'4.sz.Óvoda'!X13+'5.sz.Könyvtár'!X9+'6.sz.Műv.Ház'!X9+'7.sz.Bölcsőde'!X10+'8.sz.CSSK'!X12+'9.sz.KSZKI'!X19</f>
        <v>452800</v>
      </c>
      <c r="Y54" s="249">
        <f>'2.sz.Önkormányzat'!Y28+'3.sz.Cházi Közös Önk.Hiv.'!Y9+'4.sz.Óvoda'!Y13+'5.sz.Könyvtár'!Y9+'6.sz.Műv.Ház'!Y9+'7.sz.Bölcsőde'!Y10+'8.sz.CSSK'!Y12+'9.sz.KSZKI'!Y19</f>
        <v>450468</v>
      </c>
      <c r="Z54" s="249">
        <f>'2.sz.Önkormányzat'!Z28+'3.sz.Cházi Közös Önk.Hiv.'!Z9+'4.sz.Óvoda'!Z13+'5.sz.Könyvtár'!Z9+'6.sz.Műv.Ház'!Z9+'7.sz.Bölcsőde'!Z10+'8.sz.CSSK'!Z12+'9.sz.KSZKI'!Z19</f>
        <v>5.3533306383971153</v>
      </c>
      <c r="AA54" s="249">
        <f>'2.sz.Önkormányzat'!AA28+'3.sz.Cházi Közös Önk.Hiv.'!AA9+'4.sz.Óvoda'!AA13+'5.sz.Könyvtár'!AA9+'6.sz.Műv.Ház'!AA9+'7.sz.Bölcsőde'!AA10+'8.sz.CSSK'!AA12+'9.sz.KSZKI'!AA19</f>
        <v>337064</v>
      </c>
      <c r="AB54" s="249">
        <f>'2.sz.Önkormányzat'!AB28+'3.sz.Cházi Közös Önk.Hiv.'!AB9+'4.sz.Óvoda'!AB13+'5.sz.Könyvtár'!AB9+'6.sz.Műv.Ház'!AB9+'7.sz.Bölcsőde'!AB10+'8.sz.CSSK'!AB12+'9.sz.KSZKI'!AB19</f>
        <v>469082</v>
      </c>
      <c r="AC54" s="249">
        <f>'2.sz.Önkormányzat'!AC28+'3.sz.Cházi Közös Önk.Hiv.'!AC9+'4.sz.Óvoda'!AC13+'5.sz.Könyvtár'!AC9+'6.sz.Műv.Ház'!AC9+'7.sz.Bölcsőde'!AC10+'8.sz.CSSK'!AC12+'9.sz.KSZKI'!AC19</f>
        <v>469082</v>
      </c>
      <c r="AD54" s="249">
        <f>'2.sz.Önkormányzat'!AD28+'3.sz.Cházi Közös Önk.Hiv.'!AD9+'4.sz.Óvoda'!AD13+'5.sz.Könyvtár'!AD9+'6.sz.Műv.Ház'!AD9+'7.sz.Bölcsőde'!AD10+'8.sz.CSSK'!AD12+'9.sz.KSZKI'!AD19</f>
        <v>2</v>
      </c>
      <c r="AE54" s="249">
        <f>'2.sz.Önkormányzat'!AE28+'3.sz.Cházi Közös Önk.Hiv.'!AE9+'4.sz.Óvoda'!AE13+'5.sz.Könyvtár'!AE9+'6.sz.Műv.Ház'!AE9+'7.sz.Bölcsőde'!AE10+'8.sz.CSSK'!AE12+'9.sz.KSZKI'!AE19</f>
        <v>103779</v>
      </c>
      <c r="AF54" s="249">
        <f>'2.sz.Önkormányzat'!AF28+'3.sz.Cházi Közös Önk.Hiv.'!AF9+'4.sz.Óvoda'!AF13+'5.sz.Könyvtár'!AF9+'6.sz.Műv.Ház'!AF9+'7.sz.Bölcsőde'!AF10+'8.sz.CSSK'!AF12+'9.sz.KSZKI'!AF19</f>
        <v>333221</v>
      </c>
      <c r="AG54" s="249">
        <f>'2.sz.Önkormányzat'!AG28+'3.sz.Cházi Közös Önk.Hiv.'!AG9+'4.sz.Óvoda'!AG13+'5.sz.Könyvtár'!AG9+'6.sz.Műv.Ház'!AG9+'7.sz.Bölcsőde'!AG10+'8.sz.CSSK'!AG12+'9.sz.KSZKI'!AG19</f>
        <v>320085</v>
      </c>
      <c r="AI54" s="249">
        <f>'2.sz.Önkormányzat'!AI28+'3.sz.Cházi Közös Önk.Hiv.'!AI9+'4.sz.Óvoda'!AI13+'5.sz.Könyvtár'!AI9+'6.sz.Műv.Ház'!AI9+'8.sz.CSSK'!AI12+'7.sz.Bölcsőde'!AI10+'9.sz.KSZKI'!AI19</f>
        <v>948133</v>
      </c>
      <c r="AJ54" s="249">
        <f>'2.sz.Önkormányzat'!AJ28+'3.sz.Cházi Közös Önk.Hiv.'!AJ9+'4.sz.Óvoda'!AJ13+'5.sz.Könyvtár'!AJ9+'6.sz.Műv.Ház'!AJ9+'8.sz.CSSK'!AJ12+'7.sz.Bölcsőde'!AJ10+'9.sz.KSZKI'!AJ19</f>
        <v>1255103</v>
      </c>
      <c r="AK54" s="249">
        <f>'2.sz.Önkormányzat'!AK28+'3.sz.Cházi Közös Önk.Hiv.'!AK9+'4.sz.Óvoda'!AK13+'5.sz.Könyvtár'!AK9+'6.sz.Műv.Ház'!AK9+'7.sz.Bölcsőde'!AK10+'8.sz.CSSK'!AK12+'9.sz.KSZKI'!AK19</f>
        <v>1239635</v>
      </c>
    </row>
  </sheetData>
  <mergeCells count="20">
    <mergeCell ref="AM1:AO1"/>
    <mergeCell ref="AM4:AO4"/>
    <mergeCell ref="C4:V4"/>
    <mergeCell ref="W4:AL4"/>
    <mergeCell ref="C5:F5"/>
    <mergeCell ref="G5:J5"/>
    <mergeCell ref="AE5:AH5"/>
    <mergeCell ref="AI5:AL5"/>
    <mergeCell ref="AA5:AD5"/>
    <mergeCell ref="K5:N5"/>
    <mergeCell ref="O5:R5"/>
    <mergeCell ref="S5:V5"/>
    <mergeCell ref="W5:Z5"/>
    <mergeCell ref="A3:AL3"/>
    <mergeCell ref="AM5:AM6"/>
    <mergeCell ref="AN5:AN6"/>
    <mergeCell ref="AO5:AO6"/>
    <mergeCell ref="A4:B4"/>
    <mergeCell ref="A5:A6"/>
    <mergeCell ref="B5:B6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&amp;R&amp;"-,Félkövér"1. számú melléklet</oddHeader>
  </headerFooter>
  <colBreaks count="1" manualBreakCount="1">
    <brk id="22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P37"/>
  <sheetViews>
    <sheetView topLeftCell="C1" zoomScaleSheetLayoutView="100" workbookViewId="0">
      <selection activeCell="P10" sqref="P10"/>
    </sheetView>
  </sheetViews>
  <sheetFormatPr defaultRowHeight="15"/>
  <cols>
    <col min="1" max="1" width="4.85546875" customWidth="1"/>
    <col min="2" max="2" width="57.5703125" bestFit="1" customWidth="1"/>
    <col min="3" max="3" width="11" bestFit="1" customWidth="1"/>
    <col min="4" max="4" width="14.28515625" bestFit="1" customWidth="1"/>
    <col min="5" max="5" width="11" bestFit="1" customWidth="1"/>
    <col min="6" max="6" width="13.85546875" bestFit="1" customWidth="1"/>
    <col min="7" max="7" width="11" bestFit="1" customWidth="1"/>
    <col min="8" max="8" width="14.28515625" bestFit="1" customWidth="1"/>
    <col min="9" max="9" width="11" bestFit="1" customWidth="1"/>
    <col min="10" max="10" width="13.85546875" bestFit="1" customWidth="1"/>
    <col min="11" max="11" width="10.5703125" bestFit="1" customWidth="1"/>
    <col min="12" max="12" width="14.28515625" bestFit="1" customWidth="1"/>
    <col min="13" max="13" width="10" bestFit="1" customWidth="1"/>
    <col min="14" max="14" width="13.85546875" bestFit="1" customWidth="1"/>
    <col min="15" max="15" width="11" bestFit="1" customWidth="1"/>
    <col min="16" max="16" width="14.28515625" bestFit="1" customWidth="1"/>
    <col min="17" max="17" width="11" bestFit="1" customWidth="1"/>
    <col min="18" max="18" width="13.85546875" bestFit="1" customWidth="1"/>
    <col min="19" max="19" width="11" bestFit="1" customWidth="1"/>
    <col min="20" max="20" width="14.28515625" bestFit="1" customWidth="1"/>
    <col min="21" max="21" width="11" bestFit="1" customWidth="1"/>
    <col min="22" max="22" width="13.85546875" bestFit="1" customWidth="1"/>
    <col min="23" max="23" width="11" bestFit="1" customWidth="1"/>
    <col min="24" max="24" width="14.28515625" bestFit="1" customWidth="1"/>
    <col min="25" max="25" width="11" bestFit="1" customWidth="1"/>
    <col min="26" max="26" width="13.85546875" bestFit="1" customWidth="1"/>
    <col min="27" max="27" width="11" bestFit="1" customWidth="1"/>
    <col min="28" max="28" width="14.28515625" bestFit="1" customWidth="1"/>
    <col min="29" max="29" width="11" bestFit="1" customWidth="1"/>
    <col min="30" max="30" width="13.85546875" bestFit="1" customWidth="1"/>
    <col min="31" max="31" width="10.5703125" bestFit="1" customWidth="1"/>
    <col min="32" max="32" width="14.28515625" bestFit="1" customWidth="1"/>
    <col min="33" max="33" width="10" bestFit="1" customWidth="1"/>
    <col min="34" max="34" width="13.85546875" bestFit="1" customWidth="1"/>
    <col min="35" max="35" width="11" bestFit="1" customWidth="1"/>
    <col min="36" max="36" width="14.28515625" bestFit="1" customWidth="1"/>
    <col min="37" max="37" width="11" bestFit="1" customWidth="1"/>
    <col min="38" max="38" width="13.85546875" bestFit="1" customWidth="1"/>
    <col min="39" max="39" width="11.42578125" customWidth="1"/>
    <col min="40" max="40" width="10.7109375" customWidth="1"/>
    <col min="41" max="41" width="17.42578125" bestFit="1" customWidth="1"/>
  </cols>
  <sheetData>
    <row r="1" spans="1:42" s="1" customFormat="1">
      <c r="A1" s="447" t="s">
        <v>138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</row>
    <row r="2" spans="1:42" s="1" customFormat="1" ht="15.75" thickBot="1">
      <c r="A2" s="466" t="s">
        <v>0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  <c r="AF2" s="467"/>
      <c r="AG2" s="467"/>
      <c r="AH2" s="467"/>
      <c r="AI2" s="467"/>
      <c r="AJ2" s="467"/>
      <c r="AK2" s="467"/>
      <c r="AL2" s="468"/>
      <c r="AM2" s="447" t="s">
        <v>81</v>
      </c>
      <c r="AN2" s="447"/>
      <c r="AO2" s="447"/>
    </row>
    <row r="3" spans="1:42" s="2" customFormat="1" ht="15" customHeight="1" thickBot="1">
      <c r="A3" s="448" t="s">
        <v>27</v>
      </c>
      <c r="B3" s="448"/>
      <c r="C3" s="451" t="s">
        <v>1</v>
      </c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2"/>
      <c r="W3" s="453" t="s">
        <v>2</v>
      </c>
      <c r="X3" s="454"/>
      <c r="Y3" s="454"/>
      <c r="Z3" s="454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6"/>
      <c r="AM3" s="449" t="s">
        <v>3</v>
      </c>
      <c r="AN3" s="450"/>
      <c r="AO3" s="450"/>
    </row>
    <row r="4" spans="1:42" s="2" customFormat="1" ht="30" customHeight="1">
      <c r="A4" s="463" t="s">
        <v>21</v>
      </c>
      <c r="B4" s="460" t="s">
        <v>54</v>
      </c>
      <c r="C4" s="435" t="s">
        <v>108</v>
      </c>
      <c r="D4" s="436"/>
      <c r="E4" s="436"/>
      <c r="F4" s="441"/>
      <c r="G4" s="457" t="s">
        <v>122</v>
      </c>
      <c r="H4" s="458"/>
      <c r="I4" s="458"/>
      <c r="J4" s="459"/>
      <c r="K4" s="435" t="s">
        <v>123</v>
      </c>
      <c r="L4" s="436"/>
      <c r="M4" s="436"/>
      <c r="N4" s="441"/>
      <c r="O4" s="435" t="s">
        <v>124</v>
      </c>
      <c r="P4" s="436"/>
      <c r="Q4" s="436"/>
      <c r="R4" s="441"/>
      <c r="S4" s="435" t="s">
        <v>19</v>
      </c>
      <c r="T4" s="436"/>
      <c r="U4" s="436"/>
      <c r="V4" s="437"/>
      <c r="W4" s="438" t="s">
        <v>110</v>
      </c>
      <c r="X4" s="439"/>
      <c r="Y4" s="439"/>
      <c r="Z4" s="440"/>
      <c r="AA4" s="435" t="s">
        <v>4</v>
      </c>
      <c r="AB4" s="436"/>
      <c r="AC4" s="436"/>
      <c r="AD4" s="441"/>
      <c r="AE4" s="435" t="s">
        <v>111</v>
      </c>
      <c r="AF4" s="436"/>
      <c r="AG4" s="436"/>
      <c r="AH4" s="441"/>
      <c r="AI4" s="435" t="s">
        <v>20</v>
      </c>
      <c r="AJ4" s="436"/>
      <c r="AK4" s="436"/>
      <c r="AL4" s="441"/>
      <c r="AM4" s="433" t="s">
        <v>5</v>
      </c>
      <c r="AN4" s="442" t="s">
        <v>6</v>
      </c>
      <c r="AO4" s="444" t="s">
        <v>7</v>
      </c>
    </row>
    <row r="5" spans="1:42" s="2" customFormat="1" ht="28.5" customHeight="1">
      <c r="A5" s="464"/>
      <c r="B5" s="461"/>
      <c r="C5" s="151" t="s">
        <v>101</v>
      </c>
      <c r="D5" s="152" t="s">
        <v>100</v>
      </c>
      <c r="E5" s="152" t="s">
        <v>102</v>
      </c>
      <c r="F5" s="85" t="s">
        <v>103</v>
      </c>
      <c r="G5" s="151" t="s">
        <v>101</v>
      </c>
      <c r="H5" s="152" t="s">
        <v>100</v>
      </c>
      <c r="I5" s="152" t="s">
        <v>102</v>
      </c>
      <c r="J5" s="85" t="s">
        <v>103</v>
      </c>
      <c r="K5" s="151" t="s">
        <v>101</v>
      </c>
      <c r="L5" s="152" t="s">
        <v>100</v>
      </c>
      <c r="M5" s="152" t="s">
        <v>102</v>
      </c>
      <c r="N5" s="85" t="s">
        <v>103</v>
      </c>
      <c r="O5" s="151" t="s">
        <v>101</v>
      </c>
      <c r="P5" s="152" t="s">
        <v>100</v>
      </c>
      <c r="Q5" s="152" t="s">
        <v>102</v>
      </c>
      <c r="R5" s="85" t="s">
        <v>103</v>
      </c>
      <c r="S5" s="99" t="s">
        <v>101</v>
      </c>
      <c r="T5" s="80" t="s">
        <v>100</v>
      </c>
      <c r="U5" s="80" t="s">
        <v>102</v>
      </c>
      <c r="V5" s="87" t="s">
        <v>103</v>
      </c>
      <c r="W5" s="99" t="s">
        <v>101</v>
      </c>
      <c r="X5" s="80" t="s">
        <v>100</v>
      </c>
      <c r="Y5" s="80" t="s">
        <v>102</v>
      </c>
      <c r="Z5" s="87" t="s">
        <v>103</v>
      </c>
      <c r="AA5" s="99" t="s">
        <v>101</v>
      </c>
      <c r="AB5" s="80" t="s">
        <v>100</v>
      </c>
      <c r="AC5" s="80" t="s">
        <v>102</v>
      </c>
      <c r="AD5" s="85" t="s">
        <v>103</v>
      </c>
      <c r="AE5" s="99" t="s">
        <v>101</v>
      </c>
      <c r="AF5" s="80" t="s">
        <v>100</v>
      </c>
      <c r="AG5" s="80" t="s">
        <v>102</v>
      </c>
      <c r="AH5" s="85" t="s">
        <v>103</v>
      </c>
      <c r="AI5" s="99" t="s">
        <v>101</v>
      </c>
      <c r="AJ5" s="80" t="s">
        <v>100</v>
      </c>
      <c r="AK5" s="80" t="s">
        <v>102</v>
      </c>
      <c r="AL5" s="85" t="s">
        <v>103</v>
      </c>
      <c r="AM5" s="434"/>
      <c r="AN5" s="443"/>
      <c r="AO5" s="445"/>
      <c r="AP5" s="19"/>
    </row>
    <row r="6" spans="1:42" s="2" customFormat="1" ht="28.5" customHeight="1">
      <c r="A6" s="465"/>
      <c r="B6" s="462"/>
      <c r="C6" s="151">
        <f>SUM(C7:C27)</f>
        <v>198223</v>
      </c>
      <c r="D6" s="152">
        <f t="shared" ref="D6:AK6" si="0">SUM(D7:D27)</f>
        <v>216972</v>
      </c>
      <c r="E6" s="152">
        <f t="shared" si="0"/>
        <v>192538</v>
      </c>
      <c r="F6" s="145">
        <f>E6/D6</f>
        <v>0.88738639087071147</v>
      </c>
      <c r="G6" s="151">
        <f t="shared" si="0"/>
        <v>145773</v>
      </c>
      <c r="H6" s="152">
        <f t="shared" si="0"/>
        <v>177345</v>
      </c>
      <c r="I6" s="152">
        <f t="shared" si="0"/>
        <v>169928</v>
      </c>
      <c r="J6" s="145">
        <f>I6/H6</f>
        <v>0.95817756350616035</v>
      </c>
      <c r="K6" s="151">
        <f t="shared" si="0"/>
        <v>46664</v>
      </c>
      <c r="L6" s="152">
        <f t="shared" si="0"/>
        <v>68616</v>
      </c>
      <c r="M6" s="152">
        <f t="shared" si="0"/>
        <v>67302</v>
      </c>
      <c r="N6" s="144">
        <f>M6/L6</f>
        <v>0.98084994753410282</v>
      </c>
      <c r="O6" s="151">
        <f t="shared" si="0"/>
        <v>234266</v>
      </c>
      <c r="P6" s="152">
        <f t="shared" si="0"/>
        <v>414686</v>
      </c>
      <c r="Q6" s="152">
        <f t="shared" si="0"/>
        <v>399904</v>
      </c>
      <c r="R6" s="144">
        <f>Q6/P6</f>
        <v>0.96435375199548579</v>
      </c>
      <c r="S6" s="99">
        <f t="shared" si="0"/>
        <v>624926</v>
      </c>
      <c r="T6" s="80">
        <f t="shared" si="0"/>
        <v>877619</v>
      </c>
      <c r="U6" s="80">
        <f t="shared" si="0"/>
        <v>829672</v>
      </c>
      <c r="V6" s="150">
        <f>U6/T6</f>
        <v>0.94536695308556451</v>
      </c>
      <c r="W6" s="99">
        <f t="shared" si="0"/>
        <v>464431</v>
      </c>
      <c r="X6" s="80">
        <f t="shared" si="0"/>
        <v>402006</v>
      </c>
      <c r="Y6" s="80">
        <f t="shared" si="0"/>
        <v>384146</v>
      </c>
      <c r="Z6" s="150">
        <f>Y6/X6</f>
        <v>0.95557280239598419</v>
      </c>
      <c r="AA6" s="99">
        <f t="shared" si="0"/>
        <v>145319</v>
      </c>
      <c r="AB6" s="80">
        <f t="shared" si="0"/>
        <v>406473</v>
      </c>
      <c r="AC6" s="80">
        <f t="shared" si="0"/>
        <v>406473</v>
      </c>
      <c r="AD6" s="144">
        <f>AC6/AB6</f>
        <v>1</v>
      </c>
      <c r="AE6" s="99">
        <f t="shared" si="0"/>
        <v>17523</v>
      </c>
      <c r="AF6" s="80">
        <f t="shared" si="0"/>
        <v>69140</v>
      </c>
      <c r="AG6" s="80">
        <f t="shared" si="0"/>
        <v>70786</v>
      </c>
      <c r="AH6" s="145">
        <f>AG6/AF6</f>
        <v>1.023806768874747</v>
      </c>
      <c r="AI6" s="99">
        <f t="shared" si="0"/>
        <v>627273</v>
      </c>
      <c r="AJ6" s="80">
        <f t="shared" si="0"/>
        <v>877619</v>
      </c>
      <c r="AK6" s="80">
        <f t="shared" si="0"/>
        <v>861405</v>
      </c>
      <c r="AL6" s="144">
        <f>AK6/AJ6</f>
        <v>0.98152501256239899</v>
      </c>
      <c r="AM6" s="303">
        <f>SUM(AM7:AM27)</f>
        <v>5</v>
      </c>
      <c r="AN6" s="303">
        <f t="shared" ref="AN6:AO6" si="1">SUM(AN7:AN27)</f>
        <v>0</v>
      </c>
      <c r="AO6" s="303">
        <f t="shared" si="1"/>
        <v>185</v>
      </c>
      <c r="AP6" s="19"/>
    </row>
    <row r="7" spans="1:42" s="8" customFormat="1">
      <c r="A7" s="14" t="s">
        <v>42</v>
      </c>
      <c r="B7" s="203" t="s">
        <v>22</v>
      </c>
      <c r="C7" s="102"/>
      <c r="D7" s="5"/>
      <c r="E7" s="5"/>
      <c r="F7" s="104"/>
      <c r="G7" s="295">
        <v>15960</v>
      </c>
      <c r="H7" s="6">
        <v>22662</v>
      </c>
      <c r="I7" s="6">
        <v>23427</v>
      </c>
      <c r="J7" s="296">
        <f>I7/H7</f>
        <v>1.0337569499602859</v>
      </c>
      <c r="K7" s="102"/>
      <c r="L7" s="5"/>
      <c r="M7" s="5"/>
      <c r="N7" s="104"/>
      <c r="O7" s="102"/>
      <c r="P7" s="5"/>
      <c r="Q7" s="5"/>
      <c r="R7" s="106"/>
      <c r="S7" s="107">
        <f>C7+G7+K7+O7</f>
        <v>15960</v>
      </c>
      <c r="T7" s="18">
        <f t="shared" ref="T7:U22" si="2">D7+H7+L7+P7</f>
        <v>22662</v>
      </c>
      <c r="U7" s="18">
        <f t="shared" si="2"/>
        <v>23427</v>
      </c>
      <c r="V7" s="130">
        <f>U7/T7</f>
        <v>1.0337569499602859</v>
      </c>
      <c r="W7" s="146">
        <v>0</v>
      </c>
      <c r="X7" s="7"/>
      <c r="Y7" s="7"/>
      <c r="Z7" s="153"/>
      <c r="AA7" s="107">
        <v>10610</v>
      </c>
      <c r="AB7" s="5"/>
      <c r="AC7" s="5"/>
      <c r="AD7" s="106"/>
      <c r="AE7" s="102"/>
      <c r="AF7" s="5"/>
      <c r="AG7" s="5"/>
      <c r="AH7" s="106"/>
      <c r="AI7" s="108">
        <f>W7+AA7+AE7</f>
        <v>10610</v>
      </c>
      <c r="AJ7" s="4">
        <f t="shared" ref="AJ7:AK22" si="3">X7+AB7+AF7</f>
        <v>0</v>
      </c>
      <c r="AK7" s="4">
        <f t="shared" si="3"/>
        <v>0</v>
      </c>
      <c r="AL7" s="147"/>
      <c r="AM7" s="146"/>
      <c r="AN7" s="7"/>
      <c r="AO7" s="304"/>
      <c r="AP7" s="27"/>
    </row>
    <row r="8" spans="1:42" s="9" customFormat="1">
      <c r="A8" s="15" t="s">
        <v>43</v>
      </c>
      <c r="B8" s="204" t="s">
        <v>121</v>
      </c>
      <c r="C8" s="102"/>
      <c r="D8" s="18">
        <v>8938</v>
      </c>
      <c r="E8" s="18">
        <f>7078+1860</f>
        <v>8938</v>
      </c>
      <c r="F8" s="93">
        <f>E8/D8</f>
        <v>1</v>
      </c>
      <c r="G8" s="108">
        <v>356</v>
      </c>
      <c r="H8" s="4">
        <v>24841</v>
      </c>
      <c r="I8" s="4">
        <v>16590</v>
      </c>
      <c r="J8" s="103">
        <f>I8/H8</f>
        <v>0.66784751016464716</v>
      </c>
      <c r="K8" s="102"/>
      <c r="L8" s="5"/>
      <c r="M8" s="18">
        <v>115</v>
      </c>
      <c r="N8" s="93"/>
      <c r="O8" s="102"/>
      <c r="P8" s="5"/>
      <c r="Q8" s="5"/>
      <c r="R8" s="106"/>
      <c r="S8" s="107">
        <f t="shared" ref="S8:S23" si="4">C8+G8+K8+O8</f>
        <v>356</v>
      </c>
      <c r="T8" s="18">
        <f t="shared" si="2"/>
        <v>33779</v>
      </c>
      <c r="U8" s="18">
        <f t="shared" si="2"/>
        <v>25643</v>
      </c>
      <c r="V8" s="130">
        <f t="shared" ref="V8:V26" si="5">U8/T8</f>
        <v>0.75914029426566798</v>
      </c>
      <c r="W8" s="108">
        <v>356</v>
      </c>
      <c r="X8" s="4">
        <v>379</v>
      </c>
      <c r="Y8" s="4">
        <v>9736</v>
      </c>
      <c r="Z8" s="78"/>
      <c r="AA8" s="102"/>
      <c r="AB8" s="5"/>
      <c r="AC8" s="5"/>
      <c r="AD8" s="106"/>
      <c r="AE8" s="102"/>
      <c r="AF8" s="5"/>
      <c r="AG8" s="5"/>
      <c r="AH8" s="106"/>
      <c r="AI8" s="108">
        <f t="shared" ref="AI8:AI23" si="6">W8+AA8+AE8</f>
        <v>356</v>
      </c>
      <c r="AJ8" s="4">
        <f t="shared" si="3"/>
        <v>379</v>
      </c>
      <c r="AK8" s="4">
        <f t="shared" si="3"/>
        <v>9736</v>
      </c>
      <c r="AL8" s="147"/>
      <c r="AM8" s="102">
        <v>0</v>
      </c>
      <c r="AN8" s="5">
        <v>0</v>
      </c>
      <c r="AO8" s="106">
        <v>0</v>
      </c>
    </row>
    <row r="9" spans="1:42" s="9" customFormat="1">
      <c r="A9" s="15" t="s">
        <v>43</v>
      </c>
      <c r="B9" s="204" t="s">
        <v>24</v>
      </c>
      <c r="C9" s="102"/>
      <c r="D9" s="5"/>
      <c r="E9" s="5"/>
      <c r="F9" s="104"/>
      <c r="G9" s="102"/>
      <c r="H9" s="5"/>
      <c r="I9" s="5"/>
      <c r="J9" s="104"/>
      <c r="K9" s="107">
        <v>8900</v>
      </c>
      <c r="L9" s="5"/>
      <c r="M9" s="5"/>
      <c r="N9" s="104"/>
      <c r="O9" s="102"/>
      <c r="P9" s="5"/>
      <c r="Q9" s="5"/>
      <c r="R9" s="106"/>
      <c r="S9" s="107">
        <f t="shared" si="4"/>
        <v>8900</v>
      </c>
      <c r="T9" s="5"/>
      <c r="U9" s="5"/>
      <c r="V9" s="131"/>
      <c r="W9" s="108">
        <v>9624</v>
      </c>
      <c r="X9" s="5"/>
      <c r="Y9" s="5"/>
      <c r="Z9" s="77"/>
      <c r="AA9" s="102"/>
      <c r="AB9" s="5"/>
      <c r="AC9" s="5"/>
      <c r="AD9" s="106"/>
      <c r="AE9" s="102"/>
      <c r="AF9" s="5"/>
      <c r="AG9" s="5"/>
      <c r="AH9" s="106"/>
      <c r="AI9" s="108">
        <f t="shared" si="6"/>
        <v>9624</v>
      </c>
      <c r="AJ9" s="5">
        <f t="shared" si="3"/>
        <v>0</v>
      </c>
      <c r="AK9" s="5">
        <f t="shared" si="3"/>
        <v>0</v>
      </c>
      <c r="AL9" s="106"/>
      <c r="AM9" s="102">
        <v>0</v>
      </c>
      <c r="AN9" s="5">
        <v>0</v>
      </c>
      <c r="AO9" s="106">
        <v>0</v>
      </c>
    </row>
    <row r="10" spans="1:42" s="9" customFormat="1">
      <c r="A10" s="15" t="s">
        <v>43</v>
      </c>
      <c r="B10" s="204" t="s">
        <v>25</v>
      </c>
      <c r="C10" s="102"/>
      <c r="D10" s="5"/>
      <c r="E10" s="5"/>
      <c r="F10" s="104"/>
      <c r="G10" s="108">
        <v>11635</v>
      </c>
      <c r="H10" s="4">
        <v>19995</v>
      </c>
      <c r="I10" s="4">
        <v>32848</v>
      </c>
      <c r="J10" s="103">
        <f>I10/H10</f>
        <v>1.6428107026756689</v>
      </c>
      <c r="K10" s="102"/>
      <c r="L10" s="18">
        <v>9264</v>
      </c>
      <c r="M10" s="18">
        <v>9855</v>
      </c>
      <c r="N10" s="93">
        <f t="shared" ref="N10:N26" si="7">M10/L10</f>
        <v>1.0637953367875648</v>
      </c>
      <c r="O10" s="102"/>
      <c r="P10" s="18">
        <f>320+1170</f>
        <v>1490</v>
      </c>
      <c r="Q10" s="18">
        <v>8195</v>
      </c>
      <c r="R10" s="25"/>
      <c r="S10" s="107">
        <f t="shared" si="4"/>
        <v>11635</v>
      </c>
      <c r="T10" s="18">
        <f t="shared" si="2"/>
        <v>30749</v>
      </c>
      <c r="U10" s="18">
        <f t="shared" si="2"/>
        <v>50898</v>
      </c>
      <c r="V10" s="130">
        <f t="shared" si="5"/>
        <v>1.6552733422225112</v>
      </c>
      <c r="W10" s="102"/>
      <c r="X10" s="18">
        <f>5612+7877</f>
        <v>13489</v>
      </c>
      <c r="Y10" s="18">
        <v>10806</v>
      </c>
      <c r="Z10" s="130">
        <f>Y10/X10</f>
        <v>0.80109719030321003</v>
      </c>
      <c r="AA10" s="102"/>
      <c r="AB10" s="5"/>
      <c r="AC10" s="5"/>
      <c r="AD10" s="106"/>
      <c r="AE10" s="102"/>
      <c r="AF10" s="5"/>
      <c r="AG10" s="5"/>
      <c r="AH10" s="106"/>
      <c r="AI10" s="102"/>
      <c r="AJ10" s="4">
        <f t="shared" si="3"/>
        <v>13489</v>
      </c>
      <c r="AK10" s="4">
        <f t="shared" si="3"/>
        <v>10806</v>
      </c>
      <c r="AL10" s="103">
        <f>AK10/AJ10</f>
        <v>0.80109719030321003</v>
      </c>
      <c r="AM10" s="102">
        <v>0</v>
      </c>
      <c r="AN10" s="5">
        <v>0</v>
      </c>
      <c r="AO10" s="106">
        <v>0</v>
      </c>
    </row>
    <row r="11" spans="1:42" s="9" customFormat="1">
      <c r="A11" s="15" t="s">
        <v>42</v>
      </c>
      <c r="B11" s="204" t="s">
        <v>26</v>
      </c>
      <c r="C11" s="102"/>
      <c r="D11" s="5"/>
      <c r="E11" s="5"/>
      <c r="F11" s="104"/>
      <c r="G11" s="108">
        <v>15616</v>
      </c>
      <c r="H11" s="4">
        <v>15616</v>
      </c>
      <c r="I11" s="4">
        <v>11060</v>
      </c>
      <c r="J11" s="103">
        <f>I11/H11</f>
        <v>0.70824795081967218</v>
      </c>
      <c r="K11" s="102"/>
      <c r="L11" s="5"/>
      <c r="M11" s="18">
        <v>382</v>
      </c>
      <c r="N11" s="104"/>
      <c r="O11" s="102"/>
      <c r="P11" s="5"/>
      <c r="Q11" s="5"/>
      <c r="R11" s="106"/>
      <c r="S11" s="107">
        <f t="shared" si="4"/>
        <v>15616</v>
      </c>
      <c r="T11" s="18">
        <f t="shared" si="2"/>
        <v>15616</v>
      </c>
      <c r="U11" s="18">
        <f t="shared" si="2"/>
        <v>11442</v>
      </c>
      <c r="V11" s="130">
        <f t="shared" si="5"/>
        <v>0.73271004098360659</v>
      </c>
      <c r="W11" s="102"/>
      <c r="X11" s="5"/>
      <c r="Y11" s="5"/>
      <c r="Z11" s="131"/>
      <c r="AA11" s="108">
        <v>15616</v>
      </c>
      <c r="AB11" s="5"/>
      <c r="AC11" s="5"/>
      <c r="AD11" s="106"/>
      <c r="AE11" s="102"/>
      <c r="AF11" s="5"/>
      <c r="AG11" s="5"/>
      <c r="AH11" s="106"/>
      <c r="AI11" s="108">
        <f t="shared" si="6"/>
        <v>15616</v>
      </c>
      <c r="AJ11" s="5">
        <f t="shared" si="3"/>
        <v>0</v>
      </c>
      <c r="AK11" s="5">
        <f t="shared" si="3"/>
        <v>0</v>
      </c>
      <c r="AL11" s="104"/>
      <c r="AM11" s="102">
        <v>0</v>
      </c>
      <c r="AN11" s="5">
        <v>0</v>
      </c>
      <c r="AO11" s="106">
        <v>0</v>
      </c>
    </row>
    <row r="12" spans="1:42" s="9" customFormat="1" ht="33.75" customHeight="1">
      <c r="A12" s="15" t="s">
        <v>42</v>
      </c>
      <c r="B12" s="205" t="s">
        <v>30</v>
      </c>
      <c r="C12" s="102"/>
      <c r="D12" s="5"/>
      <c r="E12" s="5"/>
      <c r="F12" s="104"/>
      <c r="G12" s="102"/>
      <c r="H12" s="5"/>
      <c r="I12" s="5"/>
      <c r="J12" s="104"/>
      <c r="K12" s="102"/>
      <c r="L12" s="5"/>
      <c r="M12" s="5"/>
      <c r="N12" s="104"/>
      <c r="O12" s="107">
        <v>130487</v>
      </c>
      <c r="P12" s="5"/>
      <c r="Q12" s="5"/>
      <c r="R12" s="106"/>
      <c r="S12" s="107">
        <f t="shared" si="4"/>
        <v>130487</v>
      </c>
      <c r="T12" s="5"/>
      <c r="U12" s="5"/>
      <c r="V12" s="131"/>
      <c r="W12" s="108">
        <v>71986</v>
      </c>
      <c r="X12" s="5"/>
      <c r="Y12" s="5"/>
      <c r="Z12" s="131"/>
      <c r="AA12" s="108">
        <v>58503</v>
      </c>
      <c r="AB12" s="5"/>
      <c r="AC12" s="5"/>
      <c r="AD12" s="106"/>
      <c r="AE12" s="102"/>
      <c r="AF12" s="5"/>
      <c r="AG12" s="5"/>
      <c r="AH12" s="106"/>
      <c r="AI12" s="108">
        <f t="shared" si="6"/>
        <v>130489</v>
      </c>
      <c r="AJ12" s="5">
        <f t="shared" si="3"/>
        <v>0</v>
      </c>
      <c r="AK12" s="5">
        <f t="shared" si="3"/>
        <v>0</v>
      </c>
      <c r="AL12" s="104"/>
      <c r="AM12" s="102">
        <v>0</v>
      </c>
      <c r="AN12" s="5">
        <v>0</v>
      </c>
      <c r="AO12" s="106">
        <v>0</v>
      </c>
    </row>
    <row r="13" spans="1:42" s="9" customFormat="1">
      <c r="A13" s="15" t="s">
        <v>42</v>
      </c>
      <c r="B13" s="205" t="s">
        <v>126</v>
      </c>
      <c r="C13" s="102"/>
      <c r="D13" s="18">
        <v>2942</v>
      </c>
      <c r="E13" s="18">
        <v>2942</v>
      </c>
      <c r="F13" s="93">
        <f>E13/D13</f>
        <v>1</v>
      </c>
      <c r="G13" s="102"/>
      <c r="H13" s="18">
        <v>4</v>
      </c>
      <c r="I13" s="18">
        <v>2</v>
      </c>
      <c r="J13" s="93">
        <f>I13/H13</f>
        <v>0.5</v>
      </c>
      <c r="K13" s="102"/>
      <c r="L13" s="5"/>
      <c r="M13" s="5"/>
      <c r="N13" s="104"/>
      <c r="O13" s="102"/>
      <c r="P13" s="18">
        <v>4261</v>
      </c>
      <c r="Q13" s="18">
        <v>4261</v>
      </c>
      <c r="R13" s="93">
        <f>Q13/P13</f>
        <v>1</v>
      </c>
      <c r="S13" s="102">
        <f t="shared" si="4"/>
        <v>0</v>
      </c>
      <c r="T13" s="18">
        <f t="shared" si="2"/>
        <v>7207</v>
      </c>
      <c r="U13" s="18">
        <f t="shared" si="2"/>
        <v>7205</v>
      </c>
      <c r="V13" s="130">
        <f t="shared" si="5"/>
        <v>0.99972249202164565</v>
      </c>
      <c r="W13" s="108">
        <v>102894</v>
      </c>
      <c r="X13" s="5"/>
      <c r="Y13" s="5"/>
      <c r="Z13" s="131"/>
      <c r="AA13" s="108">
        <v>11564</v>
      </c>
      <c r="AB13" s="4">
        <v>406473</v>
      </c>
      <c r="AC13" s="4">
        <v>406473</v>
      </c>
      <c r="AD13" s="103">
        <f>AC13/AB13</f>
        <v>1</v>
      </c>
      <c r="AE13" s="102"/>
      <c r="AF13" s="18">
        <v>12415</v>
      </c>
      <c r="AG13" s="18">
        <v>12415</v>
      </c>
      <c r="AH13" s="93">
        <f>AG13/AF13</f>
        <v>1</v>
      </c>
      <c r="AI13" s="108">
        <f t="shared" si="6"/>
        <v>114458</v>
      </c>
      <c r="AJ13" s="4">
        <f t="shared" si="3"/>
        <v>418888</v>
      </c>
      <c r="AK13" s="4">
        <f t="shared" si="3"/>
        <v>418888</v>
      </c>
      <c r="AL13" s="103">
        <f t="shared" ref="AL13:AL27" si="8">AK13/AJ13</f>
        <v>1</v>
      </c>
      <c r="AM13" s="102"/>
      <c r="AN13" s="5"/>
      <c r="AO13" s="106"/>
    </row>
    <row r="14" spans="1:42" s="9" customFormat="1">
      <c r="A14" s="15" t="s">
        <v>42</v>
      </c>
      <c r="B14" s="204" t="s">
        <v>28</v>
      </c>
      <c r="C14" s="102"/>
      <c r="D14" s="5"/>
      <c r="E14" s="5"/>
      <c r="F14" s="104"/>
      <c r="G14" s="108">
        <v>4411</v>
      </c>
      <c r="H14" s="5"/>
      <c r="I14" s="5"/>
      <c r="J14" s="104"/>
      <c r="K14" s="102"/>
      <c r="L14" s="5"/>
      <c r="M14" s="5"/>
      <c r="N14" s="104"/>
      <c r="O14" s="102"/>
      <c r="P14" s="5"/>
      <c r="Q14" s="5"/>
      <c r="R14" s="106"/>
      <c r="S14" s="107">
        <f t="shared" si="4"/>
        <v>4411</v>
      </c>
      <c r="T14" s="5"/>
      <c r="U14" s="5"/>
      <c r="V14" s="131"/>
      <c r="W14" s="102">
        <v>0</v>
      </c>
      <c r="X14" s="5"/>
      <c r="Y14" s="5"/>
      <c r="Z14" s="131"/>
      <c r="AA14" s="102"/>
      <c r="AB14" s="5"/>
      <c r="AC14" s="5"/>
      <c r="AD14" s="106"/>
      <c r="AE14" s="102"/>
      <c r="AF14" s="5"/>
      <c r="AG14" s="5"/>
      <c r="AH14" s="106"/>
      <c r="AI14" s="102">
        <f t="shared" si="6"/>
        <v>0</v>
      </c>
      <c r="AJ14" s="5">
        <f t="shared" si="3"/>
        <v>0</v>
      </c>
      <c r="AK14" s="5">
        <f t="shared" si="3"/>
        <v>0</v>
      </c>
      <c r="AL14" s="104"/>
      <c r="AM14" s="102">
        <v>0</v>
      </c>
      <c r="AN14" s="5">
        <v>0</v>
      </c>
      <c r="AO14" s="106">
        <v>0</v>
      </c>
    </row>
    <row r="15" spans="1:42" s="9" customFormat="1">
      <c r="A15" s="15" t="s">
        <v>42</v>
      </c>
      <c r="B15" s="204" t="s">
        <v>29</v>
      </c>
      <c r="C15" s="102"/>
      <c r="D15" s="5"/>
      <c r="E15" s="5"/>
      <c r="F15" s="104"/>
      <c r="G15" s="102"/>
      <c r="H15" s="5"/>
      <c r="I15" s="18">
        <v>635</v>
      </c>
      <c r="J15" s="104"/>
      <c r="K15" s="102"/>
      <c r="L15" s="5"/>
      <c r="M15" s="5"/>
      <c r="N15" s="104"/>
      <c r="O15" s="107">
        <v>103779</v>
      </c>
      <c r="P15" s="18">
        <f>114149+294786</f>
        <v>408935</v>
      </c>
      <c r="Q15" s="18">
        <f>105194+280004</f>
        <v>385198</v>
      </c>
      <c r="R15" s="93">
        <f>Q15/P15</f>
        <v>0.94195410028488635</v>
      </c>
      <c r="S15" s="107">
        <f t="shared" si="4"/>
        <v>103779</v>
      </c>
      <c r="T15" s="18">
        <f t="shared" si="2"/>
        <v>408935</v>
      </c>
      <c r="U15" s="18">
        <f t="shared" si="2"/>
        <v>385833</v>
      </c>
      <c r="V15" s="130">
        <f t="shared" si="5"/>
        <v>0.94350691430178391</v>
      </c>
      <c r="W15" s="102"/>
      <c r="X15" s="18">
        <v>53724</v>
      </c>
      <c r="Y15" s="18">
        <f>39561+910</f>
        <v>40471</v>
      </c>
      <c r="Z15" s="130">
        <f>Y15/X15</f>
        <v>0.75331323058595789</v>
      </c>
      <c r="AA15" s="102"/>
      <c r="AB15" s="5"/>
      <c r="AC15" s="5"/>
      <c r="AD15" s="106"/>
      <c r="AE15" s="102"/>
      <c r="AF15" s="18">
        <v>56725</v>
      </c>
      <c r="AG15" s="18">
        <f>1646+56725</f>
        <v>58371</v>
      </c>
      <c r="AH15" s="93">
        <f>AG15/AF15</f>
        <v>1.0290171881886294</v>
      </c>
      <c r="AI15" s="102">
        <f t="shared" si="6"/>
        <v>0</v>
      </c>
      <c r="AJ15" s="4">
        <f t="shared" si="3"/>
        <v>110449</v>
      </c>
      <c r="AK15" s="4">
        <f t="shared" si="3"/>
        <v>98842</v>
      </c>
      <c r="AL15" s="103">
        <f t="shared" si="8"/>
        <v>0.89491077329808333</v>
      </c>
      <c r="AM15" s="102"/>
      <c r="AN15" s="5"/>
      <c r="AO15" s="106"/>
    </row>
    <row r="16" spans="1:42" s="9" customFormat="1">
      <c r="A16" s="15" t="s">
        <v>42</v>
      </c>
      <c r="B16" s="204" t="s">
        <v>125</v>
      </c>
      <c r="C16" s="102"/>
      <c r="D16" s="18">
        <v>245</v>
      </c>
      <c r="E16" s="18">
        <v>245</v>
      </c>
      <c r="F16" s="93">
        <f>E16/D16</f>
        <v>1</v>
      </c>
      <c r="G16" s="108">
        <v>3566</v>
      </c>
      <c r="H16" s="4">
        <v>3773</v>
      </c>
      <c r="I16" s="4">
        <v>4926</v>
      </c>
      <c r="J16" s="103">
        <f>I16/H16</f>
        <v>1.3055923668168565</v>
      </c>
      <c r="K16" s="102"/>
      <c r="L16" s="5"/>
      <c r="M16" s="5"/>
      <c r="N16" s="104"/>
      <c r="O16" s="102"/>
      <c r="P16" s="5"/>
      <c r="Q16" s="5"/>
      <c r="R16" s="106"/>
      <c r="S16" s="107">
        <f t="shared" si="4"/>
        <v>3566</v>
      </c>
      <c r="T16" s="18">
        <f t="shared" si="2"/>
        <v>4018</v>
      </c>
      <c r="U16" s="18">
        <f t="shared" si="2"/>
        <v>5171</v>
      </c>
      <c r="V16" s="130">
        <f t="shared" si="5"/>
        <v>1.2869586859133897</v>
      </c>
      <c r="W16" s="102"/>
      <c r="X16" s="5"/>
      <c r="Y16" s="18">
        <v>22</v>
      </c>
      <c r="Z16" s="130"/>
      <c r="AA16" s="148"/>
      <c r="AB16" s="16"/>
      <c r="AC16" s="16"/>
      <c r="AD16" s="149"/>
      <c r="AE16" s="148"/>
      <c r="AF16" s="16"/>
      <c r="AG16" s="16"/>
      <c r="AH16" s="149"/>
      <c r="AI16" s="102">
        <f t="shared" si="6"/>
        <v>0</v>
      </c>
      <c r="AJ16" s="5">
        <f t="shared" si="3"/>
        <v>0</v>
      </c>
      <c r="AK16" s="4">
        <f t="shared" si="3"/>
        <v>22</v>
      </c>
      <c r="AL16" s="103"/>
      <c r="AM16" s="102">
        <v>0</v>
      </c>
      <c r="AN16" s="5">
        <v>0</v>
      </c>
      <c r="AO16" s="106">
        <v>0</v>
      </c>
    </row>
    <row r="17" spans="1:41" s="9" customFormat="1">
      <c r="A17" s="15" t="s">
        <v>43</v>
      </c>
      <c r="B17" s="204" t="s">
        <v>32</v>
      </c>
      <c r="C17" s="102"/>
      <c r="D17" s="5"/>
      <c r="E17" s="5"/>
      <c r="F17" s="104"/>
      <c r="G17" s="108">
        <v>12054</v>
      </c>
      <c r="H17" s="4">
        <v>12054</v>
      </c>
      <c r="I17" s="4">
        <v>3923</v>
      </c>
      <c r="J17" s="103">
        <f t="shared" ref="J17:J25" si="9">I17/H17</f>
        <v>0.32545213207234114</v>
      </c>
      <c r="K17" s="102"/>
      <c r="L17" s="18">
        <v>2306</v>
      </c>
      <c r="M17" s="18">
        <v>2306</v>
      </c>
      <c r="N17" s="93">
        <f t="shared" si="7"/>
        <v>1</v>
      </c>
      <c r="O17" s="102"/>
      <c r="P17" s="5"/>
      <c r="Q17" s="18">
        <v>2250</v>
      </c>
      <c r="R17" s="106"/>
      <c r="S17" s="107">
        <f t="shared" si="4"/>
        <v>12054</v>
      </c>
      <c r="T17" s="18">
        <f t="shared" si="2"/>
        <v>14360</v>
      </c>
      <c r="U17" s="18">
        <f t="shared" si="2"/>
        <v>8479</v>
      </c>
      <c r="V17" s="130">
        <f t="shared" si="5"/>
        <v>0.59045961002785519</v>
      </c>
      <c r="W17" s="102">
        <v>0</v>
      </c>
      <c r="X17" s="5"/>
      <c r="Y17" s="5"/>
      <c r="Z17" s="131"/>
      <c r="AA17" s="102"/>
      <c r="AB17" s="5"/>
      <c r="AC17" s="5"/>
      <c r="AD17" s="106"/>
      <c r="AE17" s="102"/>
      <c r="AF17" s="5"/>
      <c r="AG17" s="5"/>
      <c r="AH17" s="106"/>
      <c r="AI17" s="102">
        <f t="shared" si="6"/>
        <v>0</v>
      </c>
      <c r="AJ17" s="5">
        <f t="shared" si="3"/>
        <v>0</v>
      </c>
      <c r="AK17" s="5">
        <f t="shared" si="3"/>
        <v>0</v>
      </c>
      <c r="AL17" s="104"/>
      <c r="AM17" s="102">
        <v>0</v>
      </c>
      <c r="AN17" s="5">
        <v>0</v>
      </c>
      <c r="AO17" s="106">
        <v>0</v>
      </c>
    </row>
    <row r="18" spans="1:41" s="9" customFormat="1">
      <c r="A18" s="15" t="s">
        <v>42</v>
      </c>
      <c r="B18" s="204" t="s">
        <v>8</v>
      </c>
      <c r="C18" s="102"/>
      <c r="D18" s="5"/>
      <c r="E18" s="5"/>
      <c r="F18" s="104"/>
      <c r="G18" s="108">
        <v>38610</v>
      </c>
      <c r="H18" s="4">
        <f>421+290+13050+19+13863+17922</f>
        <v>45565</v>
      </c>
      <c r="I18" s="4">
        <f>87+290+12151+15317+11412</f>
        <v>39257</v>
      </c>
      <c r="J18" s="103">
        <f t="shared" si="9"/>
        <v>0.86156040820805446</v>
      </c>
      <c r="K18" s="102"/>
      <c r="L18" s="5"/>
      <c r="M18" s="5"/>
      <c r="N18" s="104"/>
      <c r="O18" s="102"/>
      <c r="P18" s="5"/>
      <c r="Q18" s="5"/>
      <c r="R18" s="106"/>
      <c r="S18" s="107">
        <f t="shared" si="4"/>
        <v>38610</v>
      </c>
      <c r="T18" s="18">
        <f t="shared" si="2"/>
        <v>45565</v>
      </c>
      <c r="U18" s="18">
        <f t="shared" si="2"/>
        <v>39257</v>
      </c>
      <c r="V18" s="130">
        <f t="shared" si="5"/>
        <v>0.86156040820805446</v>
      </c>
      <c r="W18" s="108">
        <v>28742</v>
      </c>
      <c r="X18" s="5"/>
      <c r="Y18" s="5"/>
      <c r="Z18" s="131"/>
      <c r="AA18" s="107">
        <v>47226</v>
      </c>
      <c r="AB18" s="5"/>
      <c r="AC18" s="5"/>
      <c r="AD18" s="106"/>
      <c r="AE18" s="102"/>
      <c r="AF18" s="5"/>
      <c r="AG18" s="5"/>
      <c r="AH18" s="106"/>
      <c r="AI18" s="108">
        <f t="shared" si="6"/>
        <v>75968</v>
      </c>
      <c r="AJ18" s="5">
        <f t="shared" si="3"/>
        <v>0</v>
      </c>
      <c r="AK18" s="5">
        <f t="shared" si="3"/>
        <v>0</v>
      </c>
      <c r="AL18" s="104"/>
      <c r="AM18" s="102">
        <v>0</v>
      </c>
      <c r="AN18" s="5">
        <v>0</v>
      </c>
      <c r="AO18" s="106">
        <v>0</v>
      </c>
    </row>
    <row r="19" spans="1:41" s="9" customFormat="1">
      <c r="A19" s="15" t="s">
        <v>42</v>
      </c>
      <c r="B19" s="204" t="s">
        <v>116</v>
      </c>
      <c r="C19" s="108">
        <v>184204</v>
      </c>
      <c r="D19" s="4">
        <v>177195</v>
      </c>
      <c r="E19" s="4">
        <f>133855+18591</f>
        <v>152446</v>
      </c>
      <c r="F19" s="103">
        <f>E19/D19</f>
        <v>0.86032901605575773</v>
      </c>
      <c r="G19" s="108">
        <v>24077</v>
      </c>
      <c r="H19" s="4">
        <v>19686</v>
      </c>
      <c r="I19" s="4">
        <v>22631</v>
      </c>
      <c r="J19" s="103">
        <f t="shared" si="9"/>
        <v>1.1495986995834604</v>
      </c>
      <c r="K19" s="107">
        <v>19500</v>
      </c>
      <c r="L19" s="18">
        <v>19000</v>
      </c>
      <c r="M19" s="18">
        <v>12194</v>
      </c>
      <c r="N19" s="93">
        <f t="shared" si="7"/>
        <v>0.64178947368421058</v>
      </c>
      <c r="O19" s="102"/>
      <c r="P19" s="5"/>
      <c r="Q19" s="5"/>
      <c r="R19" s="106"/>
      <c r="S19" s="107">
        <f t="shared" si="4"/>
        <v>227781</v>
      </c>
      <c r="T19" s="18">
        <f t="shared" si="2"/>
        <v>215881</v>
      </c>
      <c r="U19" s="18">
        <f t="shared" si="2"/>
        <v>187271</v>
      </c>
      <c r="V19" s="130">
        <f t="shared" si="5"/>
        <v>0.86747328389251488</v>
      </c>
      <c r="W19" s="108">
        <v>221245</v>
      </c>
      <c r="X19" s="4">
        <f>178014-14500</f>
        <v>163514</v>
      </c>
      <c r="Y19" s="4">
        <f>160554</f>
        <v>160554</v>
      </c>
      <c r="Z19" s="92">
        <f>Y19/X19</f>
        <v>0.98189757451961301</v>
      </c>
      <c r="AA19" s="102"/>
      <c r="AB19" s="5"/>
      <c r="AC19" s="5"/>
      <c r="AD19" s="106"/>
      <c r="AE19" s="102"/>
      <c r="AF19" s="5"/>
      <c r="AG19" s="5"/>
      <c r="AH19" s="106"/>
      <c r="AI19" s="108">
        <f t="shared" si="6"/>
        <v>221245</v>
      </c>
      <c r="AJ19" s="4">
        <f t="shared" si="3"/>
        <v>163514</v>
      </c>
      <c r="AK19" s="4">
        <f t="shared" si="3"/>
        <v>160554</v>
      </c>
      <c r="AL19" s="103">
        <f t="shared" si="8"/>
        <v>0.98189757451961301</v>
      </c>
      <c r="AM19" s="102">
        <v>0</v>
      </c>
      <c r="AN19" s="5">
        <v>0</v>
      </c>
      <c r="AO19" s="147">
        <v>185</v>
      </c>
    </row>
    <row r="20" spans="1:41" s="9" customFormat="1">
      <c r="A20" s="15" t="s">
        <v>43</v>
      </c>
      <c r="B20" s="204" t="s">
        <v>115</v>
      </c>
      <c r="C20" s="102"/>
      <c r="D20" s="5"/>
      <c r="E20" s="5"/>
      <c r="F20" s="104"/>
      <c r="G20" s="102"/>
      <c r="H20" s="18">
        <v>9297</v>
      </c>
      <c r="I20" s="18">
        <v>11131</v>
      </c>
      <c r="J20" s="103">
        <f t="shared" si="9"/>
        <v>1.1972679358932989</v>
      </c>
      <c r="K20" s="108">
        <v>18264</v>
      </c>
      <c r="L20" s="4">
        <v>36003</v>
      </c>
      <c r="M20" s="4">
        <v>40314</v>
      </c>
      <c r="N20" s="93">
        <f t="shared" si="7"/>
        <v>1.1197400216648612</v>
      </c>
      <c r="O20" s="102"/>
      <c r="P20" s="5"/>
      <c r="Q20" s="5"/>
      <c r="R20" s="106"/>
      <c r="S20" s="107">
        <f t="shared" si="4"/>
        <v>18264</v>
      </c>
      <c r="T20" s="18">
        <f t="shared" si="2"/>
        <v>45300</v>
      </c>
      <c r="U20" s="18">
        <f t="shared" si="2"/>
        <v>51445</v>
      </c>
      <c r="V20" s="130">
        <f t="shared" si="5"/>
        <v>1.1356512141280353</v>
      </c>
      <c r="W20" s="108">
        <v>15400</v>
      </c>
      <c r="X20" s="4">
        <v>61400</v>
      </c>
      <c r="Y20" s="4">
        <f>45737+1229</f>
        <v>46966</v>
      </c>
      <c r="Z20" s="92">
        <f t="shared" ref="Z20:Z27" si="10">Y20/X20</f>
        <v>0.76491856677524428</v>
      </c>
      <c r="AA20" s="102"/>
      <c r="AB20" s="5"/>
      <c r="AC20" s="5"/>
      <c r="AD20" s="106"/>
      <c r="AE20" s="102"/>
      <c r="AF20" s="5"/>
      <c r="AG20" s="5"/>
      <c r="AH20" s="106"/>
      <c r="AI20" s="108">
        <f t="shared" si="6"/>
        <v>15400</v>
      </c>
      <c r="AJ20" s="4">
        <f t="shared" si="3"/>
        <v>61400</v>
      </c>
      <c r="AK20" s="4">
        <f t="shared" si="3"/>
        <v>46966</v>
      </c>
      <c r="AL20" s="103">
        <f t="shared" si="8"/>
        <v>0.76491856677524428</v>
      </c>
      <c r="AM20" s="102">
        <v>0</v>
      </c>
      <c r="AN20" s="5">
        <v>0</v>
      </c>
      <c r="AO20" s="106">
        <v>0</v>
      </c>
    </row>
    <row r="21" spans="1:41" s="1" customFormat="1">
      <c r="A21" s="17" t="s">
        <v>42</v>
      </c>
      <c r="B21" s="206" t="s">
        <v>33</v>
      </c>
      <c r="C21" s="100">
        <v>7146</v>
      </c>
      <c r="D21" s="10">
        <f>6424+1519</f>
        <v>7943</v>
      </c>
      <c r="E21" s="10">
        <f>6386+1695</f>
        <v>8081</v>
      </c>
      <c r="F21" s="101">
        <f>E21/D21</f>
        <v>1.0173737882412186</v>
      </c>
      <c r="G21" s="100">
        <v>1673</v>
      </c>
      <c r="H21" s="10">
        <v>1756</v>
      </c>
      <c r="I21" s="10">
        <v>1468</v>
      </c>
      <c r="J21" s="103">
        <f t="shared" si="9"/>
        <v>0.83599088838268798</v>
      </c>
      <c r="K21" s="102">
        <v>0</v>
      </c>
      <c r="L21" s="5"/>
      <c r="M21" s="18">
        <v>13</v>
      </c>
      <c r="N21" s="104"/>
      <c r="O21" s="102"/>
      <c r="P21" s="5"/>
      <c r="Q21" s="5"/>
      <c r="R21" s="106"/>
      <c r="S21" s="107">
        <f t="shared" si="4"/>
        <v>8819</v>
      </c>
      <c r="T21" s="18">
        <f t="shared" si="2"/>
        <v>9699</v>
      </c>
      <c r="U21" s="18">
        <f t="shared" si="2"/>
        <v>9562</v>
      </c>
      <c r="V21" s="130">
        <f t="shared" si="5"/>
        <v>0.98587483245695429</v>
      </c>
      <c r="W21" s="100">
        <v>6000</v>
      </c>
      <c r="X21" s="10">
        <v>5500</v>
      </c>
      <c r="Y21" s="10">
        <v>5567</v>
      </c>
      <c r="Z21" s="92">
        <f t="shared" si="10"/>
        <v>1.0121818181818181</v>
      </c>
      <c r="AA21" s="102">
        <v>0</v>
      </c>
      <c r="AB21" s="5"/>
      <c r="AC21" s="5"/>
      <c r="AD21" s="106"/>
      <c r="AE21" s="107">
        <v>2819</v>
      </c>
      <c r="AF21" s="5"/>
      <c r="AG21" s="5"/>
      <c r="AH21" s="106"/>
      <c r="AI21" s="108">
        <f t="shared" si="6"/>
        <v>8819</v>
      </c>
      <c r="AJ21" s="4">
        <f t="shared" si="3"/>
        <v>5500</v>
      </c>
      <c r="AK21" s="4">
        <f t="shared" si="3"/>
        <v>5567</v>
      </c>
      <c r="AL21" s="103">
        <f t="shared" si="8"/>
        <v>1.0121818181818181</v>
      </c>
      <c r="AM21" s="100">
        <v>3</v>
      </c>
      <c r="AN21" s="5">
        <v>0</v>
      </c>
      <c r="AO21" s="106">
        <v>0</v>
      </c>
    </row>
    <row r="22" spans="1:41" s="1" customFormat="1">
      <c r="A22" s="17" t="s">
        <v>42</v>
      </c>
      <c r="B22" s="206" t="s">
        <v>34</v>
      </c>
      <c r="C22" s="100">
        <v>6873</v>
      </c>
      <c r="D22" s="10">
        <f>5985+1461</f>
        <v>7446</v>
      </c>
      <c r="E22" s="10">
        <f>6002+1621</f>
        <v>7623</v>
      </c>
      <c r="F22" s="101">
        <f>E22/D22</f>
        <v>1.0237711522965351</v>
      </c>
      <c r="G22" s="100">
        <v>1610</v>
      </c>
      <c r="H22" s="10">
        <v>1610</v>
      </c>
      <c r="I22" s="10">
        <v>831</v>
      </c>
      <c r="J22" s="103">
        <f t="shared" si="9"/>
        <v>0.51614906832298135</v>
      </c>
      <c r="K22" s="102"/>
      <c r="L22" s="5"/>
      <c r="M22" s="18">
        <v>80</v>
      </c>
      <c r="N22" s="104"/>
      <c r="O22" s="102"/>
      <c r="P22" s="5"/>
      <c r="Q22" s="5"/>
      <c r="R22" s="106"/>
      <c r="S22" s="107">
        <f t="shared" si="4"/>
        <v>8483</v>
      </c>
      <c r="T22" s="18">
        <f t="shared" si="2"/>
        <v>9056</v>
      </c>
      <c r="U22" s="18">
        <f t="shared" si="2"/>
        <v>8534</v>
      </c>
      <c r="V22" s="130">
        <f t="shared" si="5"/>
        <v>0.94235865724381629</v>
      </c>
      <c r="W22" s="100">
        <v>8184</v>
      </c>
      <c r="X22" s="10">
        <v>9000</v>
      </c>
      <c r="Y22" s="10">
        <v>9074</v>
      </c>
      <c r="Z22" s="92">
        <f t="shared" si="10"/>
        <v>1.0082222222222221</v>
      </c>
      <c r="AA22" s="102">
        <v>0</v>
      </c>
      <c r="AB22" s="5"/>
      <c r="AC22" s="5"/>
      <c r="AD22" s="106"/>
      <c r="AE22" s="107">
        <v>299</v>
      </c>
      <c r="AF22" s="5"/>
      <c r="AG22" s="5"/>
      <c r="AH22" s="106"/>
      <c r="AI22" s="108">
        <f t="shared" si="6"/>
        <v>8483</v>
      </c>
      <c r="AJ22" s="4">
        <f t="shared" si="3"/>
        <v>9000</v>
      </c>
      <c r="AK22" s="4">
        <f t="shared" si="3"/>
        <v>9074</v>
      </c>
      <c r="AL22" s="103">
        <f t="shared" si="8"/>
        <v>1.0082222222222221</v>
      </c>
      <c r="AM22" s="100">
        <v>2</v>
      </c>
      <c r="AN22" s="5">
        <v>0</v>
      </c>
      <c r="AO22" s="106">
        <v>0</v>
      </c>
    </row>
    <row r="23" spans="1:41" s="1" customFormat="1">
      <c r="A23" s="17" t="s">
        <v>43</v>
      </c>
      <c r="B23" s="204" t="s">
        <v>44</v>
      </c>
      <c r="C23" s="102">
        <v>0</v>
      </c>
      <c r="D23" s="5"/>
      <c r="E23" s="5"/>
      <c r="F23" s="104"/>
      <c r="G23" s="100">
        <v>16205</v>
      </c>
      <c r="H23" s="5"/>
      <c r="I23" s="5"/>
      <c r="J23" s="104"/>
      <c r="K23" s="102"/>
      <c r="L23" s="5"/>
      <c r="M23" s="5"/>
      <c r="N23" s="104"/>
      <c r="O23" s="102"/>
      <c r="P23" s="5"/>
      <c r="Q23" s="5"/>
      <c r="R23" s="106"/>
      <c r="S23" s="107">
        <f t="shared" si="4"/>
        <v>16205</v>
      </c>
      <c r="T23" s="5"/>
      <c r="U23" s="5"/>
      <c r="V23" s="131"/>
      <c r="W23" s="102">
        <v>0</v>
      </c>
      <c r="X23" s="5"/>
      <c r="Y23" s="5"/>
      <c r="Z23" s="131"/>
      <c r="AA23" s="107">
        <v>1800</v>
      </c>
      <c r="AB23" s="5"/>
      <c r="AC23" s="5"/>
      <c r="AD23" s="106"/>
      <c r="AE23" s="107">
        <v>14405</v>
      </c>
      <c r="AF23" s="5"/>
      <c r="AG23" s="5"/>
      <c r="AH23" s="106"/>
      <c r="AI23" s="108">
        <f t="shared" si="6"/>
        <v>16205</v>
      </c>
      <c r="AJ23" s="5"/>
      <c r="AK23" s="5"/>
      <c r="AL23" s="104"/>
      <c r="AM23" s="102">
        <v>0</v>
      </c>
      <c r="AN23" s="5">
        <v>0</v>
      </c>
      <c r="AO23" s="106">
        <v>0</v>
      </c>
    </row>
    <row r="24" spans="1:41" s="1" customFormat="1">
      <c r="A24" s="17" t="s">
        <v>42</v>
      </c>
      <c r="B24" s="204" t="s">
        <v>120</v>
      </c>
      <c r="C24" s="102"/>
      <c r="D24" s="10">
        <v>12263</v>
      </c>
      <c r="E24" s="10">
        <v>12263</v>
      </c>
      <c r="F24" s="101">
        <f>E24/D24</f>
        <v>1</v>
      </c>
      <c r="G24" s="102"/>
      <c r="H24" s="5"/>
      <c r="I24" s="5"/>
      <c r="J24" s="104"/>
      <c r="K24" s="102"/>
      <c r="L24" s="5"/>
      <c r="M24" s="5"/>
      <c r="N24" s="104"/>
      <c r="O24" s="102"/>
      <c r="P24" s="5"/>
      <c r="Q24" s="5"/>
      <c r="R24" s="106"/>
      <c r="S24" s="102"/>
      <c r="T24" s="18">
        <f t="shared" ref="T24" si="11">D24+H24+L24+P24</f>
        <v>12263</v>
      </c>
      <c r="U24" s="18">
        <f t="shared" ref="U24" si="12">E24+I24+M24+Q24</f>
        <v>12263</v>
      </c>
      <c r="V24" s="130">
        <f t="shared" si="5"/>
        <v>1</v>
      </c>
      <c r="W24" s="102"/>
      <c r="X24" s="5"/>
      <c r="Y24" s="5"/>
      <c r="Z24" s="131"/>
      <c r="AA24" s="102"/>
      <c r="AB24" s="5"/>
      <c r="AC24" s="5"/>
      <c r="AD24" s="106"/>
      <c r="AE24" s="102"/>
      <c r="AF24" s="5"/>
      <c r="AG24" s="5"/>
      <c r="AH24" s="106"/>
      <c r="AI24" s="102"/>
      <c r="AJ24" s="5"/>
      <c r="AK24" s="5"/>
      <c r="AL24" s="104"/>
      <c r="AM24" s="102"/>
      <c r="AN24" s="5"/>
      <c r="AO24" s="106"/>
    </row>
    <row r="25" spans="1:41" s="1" customFormat="1">
      <c r="A25" s="17" t="s">
        <v>42</v>
      </c>
      <c r="B25" s="204" t="s">
        <v>117</v>
      </c>
      <c r="C25" s="102"/>
      <c r="D25" s="5"/>
      <c r="E25" s="5"/>
      <c r="F25" s="104"/>
      <c r="G25" s="102"/>
      <c r="H25" s="10">
        <v>486</v>
      </c>
      <c r="I25" s="10">
        <v>706</v>
      </c>
      <c r="J25" s="103">
        <f t="shared" si="9"/>
        <v>1.4526748971193415</v>
      </c>
      <c r="K25" s="102"/>
      <c r="L25" s="18">
        <v>1927</v>
      </c>
      <c r="M25" s="18">
        <v>1927</v>
      </c>
      <c r="N25" s="93">
        <f t="shared" si="7"/>
        <v>1</v>
      </c>
      <c r="O25" s="102"/>
      <c r="P25" s="5"/>
      <c r="Q25" s="5"/>
      <c r="R25" s="106"/>
      <c r="S25" s="102"/>
      <c r="T25" s="18">
        <f t="shared" ref="T25:T26" si="13">D25+H25+L25+P25</f>
        <v>2413</v>
      </c>
      <c r="U25" s="18">
        <f t="shared" ref="U25:U26" si="14">E25+I25+M25+Q25</f>
        <v>2633</v>
      </c>
      <c r="V25" s="130">
        <f t="shared" si="5"/>
        <v>1.0911728139245753</v>
      </c>
      <c r="W25" s="102"/>
      <c r="X25" s="5"/>
      <c r="Y25" s="10">
        <v>407</v>
      </c>
      <c r="Z25" s="131"/>
      <c r="AA25" s="102"/>
      <c r="AB25" s="5"/>
      <c r="AC25" s="5"/>
      <c r="AD25" s="106"/>
      <c r="AE25" s="102"/>
      <c r="AF25" s="5"/>
      <c r="AG25" s="5"/>
      <c r="AH25" s="106"/>
      <c r="AI25" s="102"/>
      <c r="AJ25" s="5"/>
      <c r="AK25" s="4">
        <f t="shared" ref="AK25:AK27" si="15">Y25+AC25+AG25</f>
        <v>407</v>
      </c>
      <c r="AL25" s="104"/>
      <c r="AM25" s="102"/>
      <c r="AN25" s="5"/>
      <c r="AO25" s="106"/>
    </row>
    <row r="26" spans="1:41" s="1" customFormat="1">
      <c r="A26" s="17" t="s">
        <v>43</v>
      </c>
      <c r="B26" s="204" t="s">
        <v>118</v>
      </c>
      <c r="C26" s="102"/>
      <c r="D26" s="5"/>
      <c r="E26" s="5"/>
      <c r="F26" s="104"/>
      <c r="G26" s="102"/>
      <c r="H26" s="5"/>
      <c r="I26" s="10">
        <v>493</v>
      </c>
      <c r="J26" s="104"/>
      <c r="K26" s="102"/>
      <c r="L26" s="18">
        <v>116</v>
      </c>
      <c r="M26" s="18">
        <v>116</v>
      </c>
      <c r="N26" s="93">
        <f t="shared" si="7"/>
        <v>1</v>
      </c>
      <c r="O26" s="102"/>
      <c r="P26" s="5"/>
      <c r="Q26" s="5"/>
      <c r="R26" s="106"/>
      <c r="S26" s="102"/>
      <c r="T26" s="18">
        <f t="shared" si="13"/>
        <v>116</v>
      </c>
      <c r="U26" s="18">
        <f t="shared" si="14"/>
        <v>609</v>
      </c>
      <c r="V26" s="130">
        <f t="shared" si="5"/>
        <v>5.25</v>
      </c>
      <c r="W26" s="102"/>
      <c r="X26" s="5"/>
      <c r="Y26" s="10">
        <v>5895</v>
      </c>
      <c r="Z26" s="131"/>
      <c r="AA26" s="102"/>
      <c r="AB26" s="5"/>
      <c r="AC26" s="5"/>
      <c r="AD26" s="106"/>
      <c r="AE26" s="102"/>
      <c r="AF26" s="5"/>
      <c r="AG26" s="5"/>
      <c r="AH26" s="106"/>
      <c r="AI26" s="102"/>
      <c r="AJ26" s="5"/>
      <c r="AK26" s="4">
        <f t="shared" si="15"/>
        <v>5895</v>
      </c>
      <c r="AL26" s="104"/>
      <c r="AM26" s="102"/>
      <c r="AN26" s="5"/>
      <c r="AO26" s="106"/>
    </row>
    <row r="27" spans="1:41" s="1" customFormat="1" ht="15.75" thickBot="1">
      <c r="A27" s="54" t="s">
        <v>42</v>
      </c>
      <c r="B27" s="297" t="s">
        <v>119</v>
      </c>
      <c r="C27" s="110"/>
      <c r="D27" s="50"/>
      <c r="E27" s="50"/>
      <c r="F27" s="111"/>
      <c r="G27" s="110"/>
      <c r="H27" s="50"/>
      <c r="I27" s="50"/>
      <c r="J27" s="111"/>
      <c r="K27" s="110"/>
      <c r="L27" s="50"/>
      <c r="M27" s="50"/>
      <c r="N27" s="111"/>
      <c r="O27" s="110"/>
      <c r="P27" s="50"/>
      <c r="Q27" s="50"/>
      <c r="R27" s="125"/>
      <c r="S27" s="110"/>
      <c r="T27" s="50"/>
      <c r="U27" s="50"/>
      <c r="V27" s="135"/>
      <c r="W27" s="298"/>
      <c r="X27" s="55">
        <v>95000</v>
      </c>
      <c r="Y27" s="55">
        <v>94648</v>
      </c>
      <c r="Z27" s="299">
        <f t="shared" si="10"/>
        <v>0.99629473684210523</v>
      </c>
      <c r="AA27" s="110"/>
      <c r="AB27" s="50"/>
      <c r="AC27" s="50"/>
      <c r="AD27" s="125"/>
      <c r="AE27" s="110"/>
      <c r="AF27" s="50"/>
      <c r="AG27" s="50"/>
      <c r="AH27" s="125"/>
      <c r="AI27" s="110"/>
      <c r="AJ27" s="49">
        <f t="shared" ref="AJ27" si="16">X27+AB27+AF27</f>
        <v>95000</v>
      </c>
      <c r="AK27" s="49">
        <f t="shared" si="15"/>
        <v>94648</v>
      </c>
      <c r="AL27" s="112">
        <f t="shared" si="8"/>
        <v>0.99629473684210523</v>
      </c>
      <c r="AM27" s="110"/>
      <c r="AN27" s="50"/>
      <c r="AO27" s="125"/>
    </row>
    <row r="28" spans="1:41" ht="15.75" thickBot="1">
      <c r="A28" s="446" t="s">
        <v>55</v>
      </c>
      <c r="B28" s="446"/>
      <c r="C28" s="300">
        <f>SUM(C7:C27)</f>
        <v>198223</v>
      </c>
      <c r="D28" s="300">
        <f t="shared" ref="D28:AK28" si="17">SUM(D7:D27)</f>
        <v>216972</v>
      </c>
      <c r="E28" s="300">
        <f t="shared" si="17"/>
        <v>192538</v>
      </c>
      <c r="F28" s="301">
        <f>E28/D28</f>
        <v>0.88738639087071147</v>
      </c>
      <c r="G28" s="300">
        <f t="shared" si="17"/>
        <v>145773</v>
      </c>
      <c r="H28" s="300">
        <f t="shared" si="17"/>
        <v>177345</v>
      </c>
      <c r="I28" s="300">
        <f t="shared" si="17"/>
        <v>169928</v>
      </c>
      <c r="J28" s="301">
        <f>I28/H28</f>
        <v>0.95817756350616035</v>
      </c>
      <c r="K28" s="300">
        <f t="shared" si="17"/>
        <v>46664</v>
      </c>
      <c r="L28" s="300">
        <f t="shared" si="17"/>
        <v>68616</v>
      </c>
      <c r="M28" s="300">
        <f t="shared" si="17"/>
        <v>67302</v>
      </c>
      <c r="N28" s="301">
        <f>M28/L28</f>
        <v>0.98084994753410282</v>
      </c>
      <c r="O28" s="300">
        <f t="shared" si="17"/>
        <v>234266</v>
      </c>
      <c r="P28" s="300">
        <f t="shared" si="17"/>
        <v>414686</v>
      </c>
      <c r="Q28" s="300">
        <f t="shared" si="17"/>
        <v>399904</v>
      </c>
      <c r="R28" s="301">
        <f>Q28/P28</f>
        <v>0.96435375199548579</v>
      </c>
      <c r="S28" s="300">
        <f t="shared" si="17"/>
        <v>624926</v>
      </c>
      <c r="T28" s="300">
        <f t="shared" si="17"/>
        <v>877619</v>
      </c>
      <c r="U28" s="300">
        <f t="shared" si="17"/>
        <v>829672</v>
      </c>
      <c r="V28" s="301">
        <f>U28/T28</f>
        <v>0.94536695308556451</v>
      </c>
      <c r="W28" s="300">
        <f t="shared" si="17"/>
        <v>464431</v>
      </c>
      <c r="X28" s="300">
        <f t="shared" si="17"/>
        <v>402006</v>
      </c>
      <c r="Y28" s="300">
        <f t="shared" si="17"/>
        <v>384146</v>
      </c>
      <c r="Z28" s="301">
        <f>Y28/X28</f>
        <v>0.95557280239598419</v>
      </c>
      <c r="AA28" s="300">
        <f t="shared" si="17"/>
        <v>145319</v>
      </c>
      <c r="AB28" s="300">
        <f t="shared" si="17"/>
        <v>406473</v>
      </c>
      <c r="AC28" s="300">
        <f t="shared" si="17"/>
        <v>406473</v>
      </c>
      <c r="AD28" s="301">
        <f>AC28/AB28</f>
        <v>1</v>
      </c>
      <c r="AE28" s="300">
        <f t="shared" si="17"/>
        <v>17523</v>
      </c>
      <c r="AF28" s="300">
        <f t="shared" si="17"/>
        <v>69140</v>
      </c>
      <c r="AG28" s="300">
        <f t="shared" si="17"/>
        <v>70786</v>
      </c>
      <c r="AH28" s="301">
        <f>AG28/AF28</f>
        <v>1.023806768874747</v>
      </c>
      <c r="AI28" s="300">
        <f t="shared" si="17"/>
        <v>627273</v>
      </c>
      <c r="AJ28" s="300">
        <f t="shared" si="17"/>
        <v>877619</v>
      </c>
      <c r="AK28" s="300">
        <f t="shared" si="17"/>
        <v>861405</v>
      </c>
      <c r="AL28" s="301">
        <f>AK28/AJ28</f>
        <v>0.98152501256239899</v>
      </c>
      <c r="AM28" s="302">
        <f>SUM(AM7:AM27)</f>
        <v>5</v>
      </c>
      <c r="AN28" s="302">
        <f t="shared" ref="AN28:AO28" si="18">SUM(AN7:AN27)</f>
        <v>0</v>
      </c>
      <c r="AO28" s="302">
        <f t="shared" si="18"/>
        <v>185</v>
      </c>
    </row>
    <row r="29" spans="1:41">
      <c r="AI29" s="68"/>
      <c r="AJ29" s="68"/>
      <c r="AK29" s="68"/>
      <c r="AL29" s="68"/>
    </row>
    <row r="31" spans="1:41">
      <c r="B31" t="str">
        <f>Tartalomjegyzék!A20</f>
        <v>Cibakháza, 2016. május 31.</v>
      </c>
    </row>
    <row r="37" spans="2:2">
      <c r="B37" s="13"/>
    </row>
  </sheetData>
  <mergeCells count="22">
    <mergeCell ref="AN4:AN5"/>
    <mergeCell ref="AO4:AO5"/>
    <mergeCell ref="A28:B28"/>
    <mergeCell ref="A1:AO1"/>
    <mergeCell ref="AM2:AO2"/>
    <mergeCell ref="A3:B3"/>
    <mergeCell ref="AM3:AO3"/>
    <mergeCell ref="C3:V3"/>
    <mergeCell ref="W3:AL3"/>
    <mergeCell ref="C4:F4"/>
    <mergeCell ref="G4:J4"/>
    <mergeCell ref="K4:N4"/>
    <mergeCell ref="O4:R4"/>
    <mergeCell ref="B4:B6"/>
    <mergeCell ref="A4:A6"/>
    <mergeCell ref="A2:AL2"/>
    <mergeCell ref="AM4:AM5"/>
    <mergeCell ref="S4:V4"/>
    <mergeCell ref="W4:Z4"/>
    <mergeCell ref="AA4:AD4"/>
    <mergeCell ref="AE4:AH4"/>
    <mergeCell ref="AI4:AL4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12"/>
  <sheetViews>
    <sheetView topLeftCell="AC1" zoomScale="90" zoomScaleNormal="90" workbookViewId="0">
      <selection activeCell="H27" sqref="H27"/>
    </sheetView>
  </sheetViews>
  <sheetFormatPr defaultRowHeight="15"/>
  <cols>
    <col min="1" max="1" width="5.140625" customWidth="1"/>
    <col min="2" max="2" width="48.140625" bestFit="1" customWidth="1"/>
    <col min="3" max="3" width="17.85546875" bestFit="1" customWidth="1"/>
    <col min="4" max="6" width="17.85546875" customWidth="1"/>
    <col min="7" max="10" width="15.42578125" customWidth="1"/>
    <col min="11" max="11" width="14.140625" bestFit="1" customWidth="1"/>
    <col min="12" max="14" width="14.140625" customWidth="1"/>
    <col min="15" max="18" width="13.85546875" customWidth="1"/>
    <col min="19" max="19" width="12.5703125" customWidth="1"/>
    <col min="20" max="20" width="14.28515625" customWidth="1"/>
    <col min="21" max="21" width="12.5703125" customWidth="1"/>
    <col min="22" max="22" width="13.7109375" customWidth="1"/>
    <col min="23" max="23" width="11.42578125" customWidth="1"/>
    <col min="24" max="24" width="14.42578125" customWidth="1"/>
    <col min="25" max="25" width="11.42578125" customWidth="1"/>
    <col min="26" max="26" width="13.7109375" customWidth="1"/>
    <col min="27" max="27" width="12.5703125" customWidth="1"/>
    <col min="28" max="28" width="14.28515625" customWidth="1"/>
    <col min="29" max="29" width="11" bestFit="1" customWidth="1"/>
    <col min="30" max="30" width="14" customWidth="1"/>
    <col min="31" max="31" width="11.85546875" customWidth="1"/>
    <col min="32" max="32" width="14.42578125" customWidth="1"/>
    <col min="33" max="33" width="11.85546875" customWidth="1"/>
    <col min="34" max="34" width="14.42578125" customWidth="1"/>
    <col min="35" max="35" width="11.7109375" customWidth="1"/>
    <col min="36" max="36" width="15.7109375" customWidth="1"/>
    <col min="37" max="37" width="10.5703125" bestFit="1" customWidth="1"/>
    <col min="38" max="38" width="14.42578125" customWidth="1"/>
    <col min="39" max="39" width="12" customWidth="1"/>
    <col min="40" max="40" width="13.5703125" customWidth="1"/>
    <col min="41" max="41" width="16.5703125" customWidth="1"/>
  </cols>
  <sheetData>
    <row r="1" spans="1:41">
      <c r="AM1" s="474" t="s">
        <v>69</v>
      </c>
      <c r="AN1" s="447"/>
      <c r="AO1" s="447"/>
    </row>
    <row r="2" spans="1:41" s="1" customFormat="1">
      <c r="A2" s="447" t="s">
        <v>137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82" t="s">
        <v>0</v>
      </c>
      <c r="B3" s="483"/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4"/>
    </row>
    <row r="4" spans="1:41" s="2" customFormat="1" ht="15" customHeight="1" thickBot="1">
      <c r="A4" s="448" t="s">
        <v>27</v>
      </c>
      <c r="B4" s="448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75" t="s">
        <v>2</v>
      </c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4"/>
      <c r="AM4" s="474" t="s">
        <v>3</v>
      </c>
      <c r="AN4" s="447"/>
      <c r="AO4" s="447"/>
    </row>
    <row r="5" spans="1:41" s="2" customFormat="1" ht="36.75" customHeight="1">
      <c r="A5" s="469" t="s">
        <v>21</v>
      </c>
      <c r="B5" s="470" t="s">
        <v>35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41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77" t="s">
        <v>5</v>
      </c>
      <c r="AN5" s="479" t="s">
        <v>6</v>
      </c>
      <c r="AO5" s="450" t="s">
        <v>7</v>
      </c>
    </row>
    <row r="6" spans="1:41" s="2" customFormat="1" ht="26.25" customHeight="1">
      <c r="A6" s="469"/>
      <c r="B6" s="471"/>
      <c r="C6" s="74" t="s">
        <v>101</v>
      </c>
      <c r="D6" s="74" t="s">
        <v>100</v>
      </c>
      <c r="E6" s="74" t="s">
        <v>102</v>
      </c>
      <c r="F6" s="74" t="s">
        <v>103</v>
      </c>
      <c r="G6" s="74" t="s">
        <v>101</v>
      </c>
      <c r="H6" s="74" t="s">
        <v>100</v>
      </c>
      <c r="I6" s="74" t="s">
        <v>102</v>
      </c>
      <c r="J6" s="74" t="s">
        <v>103</v>
      </c>
      <c r="K6" s="74" t="s">
        <v>101</v>
      </c>
      <c r="L6" s="74" t="s">
        <v>100</v>
      </c>
      <c r="M6" s="74" t="s">
        <v>102</v>
      </c>
      <c r="N6" s="74" t="s">
        <v>103</v>
      </c>
      <c r="O6" s="74" t="s">
        <v>101</v>
      </c>
      <c r="P6" s="74" t="s">
        <v>100</v>
      </c>
      <c r="Q6" s="74" t="s">
        <v>102</v>
      </c>
      <c r="R6" s="74" t="s">
        <v>103</v>
      </c>
      <c r="S6" s="74" t="s">
        <v>101</v>
      </c>
      <c r="T6" s="74" t="s">
        <v>100</v>
      </c>
      <c r="U6" s="74" t="s">
        <v>102</v>
      </c>
      <c r="V6" s="74" t="s">
        <v>103</v>
      </c>
      <c r="W6" s="74" t="s">
        <v>101</v>
      </c>
      <c r="X6" s="74" t="s">
        <v>100</v>
      </c>
      <c r="Y6" s="74" t="s">
        <v>102</v>
      </c>
      <c r="Z6" s="74" t="s">
        <v>103</v>
      </c>
      <c r="AA6" s="74" t="s">
        <v>101</v>
      </c>
      <c r="AB6" s="74" t="s">
        <v>100</v>
      </c>
      <c r="AC6" s="74" t="s">
        <v>102</v>
      </c>
      <c r="AD6" s="74" t="s">
        <v>103</v>
      </c>
      <c r="AE6" s="74" t="s">
        <v>101</v>
      </c>
      <c r="AF6" s="74" t="s">
        <v>100</v>
      </c>
      <c r="AG6" s="74" t="s">
        <v>102</v>
      </c>
      <c r="AH6" s="74" t="s">
        <v>103</v>
      </c>
      <c r="AI6" s="74" t="s">
        <v>101</v>
      </c>
      <c r="AJ6" s="74" t="s">
        <v>100</v>
      </c>
      <c r="AK6" s="74" t="s">
        <v>102</v>
      </c>
      <c r="AL6" s="74" t="s">
        <v>103</v>
      </c>
      <c r="AM6" s="478"/>
      <c r="AN6" s="480"/>
      <c r="AO6" s="481"/>
    </row>
    <row r="7" spans="1:41" s="9" customFormat="1" ht="25.5">
      <c r="A7" s="15" t="s">
        <v>45</v>
      </c>
      <c r="B7" s="21" t="s">
        <v>36</v>
      </c>
      <c r="C7" s="4">
        <v>61602</v>
      </c>
      <c r="D7" s="4">
        <f>50460+16453</f>
        <v>66913</v>
      </c>
      <c r="E7" s="4">
        <v>65849</v>
      </c>
      <c r="F7" s="88">
        <f>E7/D7</f>
        <v>0.98409875509990585</v>
      </c>
      <c r="G7" s="4">
        <v>8604</v>
      </c>
      <c r="H7" s="4">
        <v>11814</v>
      </c>
      <c r="I7" s="4">
        <v>10157</v>
      </c>
      <c r="J7" s="88">
        <f>I7/H7</f>
        <v>0.85974267817843242</v>
      </c>
      <c r="K7" s="5"/>
      <c r="L7" s="4">
        <v>471</v>
      </c>
      <c r="M7" s="4">
        <v>471</v>
      </c>
      <c r="N7" s="88">
        <f>M7/L7</f>
        <v>1</v>
      </c>
      <c r="O7" s="5"/>
      <c r="P7" s="78">
        <v>16115</v>
      </c>
      <c r="Q7" s="78">
        <v>29</v>
      </c>
      <c r="R7" s="92">
        <f>Q7/P7</f>
        <v>1.7995656220912194E-3</v>
      </c>
      <c r="S7" s="25">
        <f>C7+G7+K7+O7</f>
        <v>70206</v>
      </c>
      <c r="T7" s="25">
        <f t="shared" ref="T7:V8" si="0">D7+H7+L7+P7</f>
        <v>95313</v>
      </c>
      <c r="U7" s="25">
        <f t="shared" si="0"/>
        <v>76506</v>
      </c>
      <c r="V7" s="93">
        <f>U7/T7</f>
        <v>0.8026816908501464</v>
      </c>
      <c r="W7" s="23"/>
      <c r="X7" s="22">
        <v>16751</v>
      </c>
      <c r="Y7" s="22">
        <v>16751</v>
      </c>
      <c r="Z7" s="94">
        <f>Y7/X7</f>
        <v>1</v>
      </c>
      <c r="AA7" s="4">
        <v>62609</v>
      </c>
      <c r="AB7" s="4">
        <v>62609</v>
      </c>
      <c r="AC7" s="4">
        <v>62609</v>
      </c>
      <c r="AD7" s="88">
        <f>AC7/AB7</f>
        <v>1</v>
      </c>
      <c r="AE7" s="18">
        <v>20975</v>
      </c>
      <c r="AF7" s="18">
        <v>15953</v>
      </c>
      <c r="AG7" s="18">
        <v>15953</v>
      </c>
      <c r="AH7" s="97">
        <f>AG7/AF7</f>
        <v>1</v>
      </c>
      <c r="AI7" s="4">
        <f>W7+AA7+AE7</f>
        <v>83584</v>
      </c>
      <c r="AJ7" s="4">
        <f t="shared" ref="AJ7:AK8" si="1">X7+AB7+AF7</f>
        <v>95313</v>
      </c>
      <c r="AK7" s="4">
        <f t="shared" si="1"/>
        <v>95313</v>
      </c>
      <c r="AL7" s="88">
        <f>AK7/AJ7</f>
        <v>1</v>
      </c>
      <c r="AM7" s="4">
        <v>19</v>
      </c>
      <c r="AN7" s="5">
        <v>0</v>
      </c>
      <c r="AO7" s="5">
        <v>0</v>
      </c>
    </row>
    <row r="8" spans="1:41" s="9" customFormat="1" ht="15.75" thickBot="1">
      <c r="A8" s="47" t="s">
        <v>42</v>
      </c>
      <c r="B8" s="48" t="s">
        <v>11</v>
      </c>
      <c r="C8" s="49">
        <v>13378</v>
      </c>
      <c r="D8" s="49"/>
      <c r="E8" s="49"/>
      <c r="F8" s="49"/>
      <c r="G8" s="50"/>
      <c r="H8" s="50"/>
      <c r="I8" s="50"/>
      <c r="J8" s="50"/>
      <c r="K8" s="50"/>
      <c r="L8" s="50"/>
      <c r="M8" s="50"/>
      <c r="N8" s="50"/>
      <c r="O8" s="50"/>
      <c r="P8" s="75"/>
      <c r="Q8" s="75"/>
      <c r="R8" s="75"/>
      <c r="S8" s="25">
        <f>C8+G8+K8+O8</f>
        <v>13378</v>
      </c>
      <c r="T8" s="25">
        <f t="shared" si="0"/>
        <v>0</v>
      </c>
      <c r="U8" s="25">
        <f t="shared" si="0"/>
        <v>0</v>
      </c>
      <c r="V8" s="25">
        <f t="shared" si="0"/>
        <v>0</v>
      </c>
      <c r="W8" s="51"/>
      <c r="X8" s="51"/>
      <c r="Y8" s="51"/>
      <c r="Z8" s="51"/>
      <c r="AA8" s="52"/>
      <c r="AB8" s="52"/>
      <c r="AC8" s="52"/>
      <c r="AD8" s="95"/>
      <c r="AE8" s="52"/>
      <c r="AF8" s="52"/>
      <c r="AG8" s="52"/>
      <c r="AH8" s="95"/>
      <c r="AI8" s="4">
        <f>W8+AA8+AE8</f>
        <v>0</v>
      </c>
      <c r="AJ8" s="4">
        <f t="shared" si="1"/>
        <v>0</v>
      </c>
      <c r="AK8" s="4">
        <f t="shared" si="1"/>
        <v>0</v>
      </c>
      <c r="AL8" s="95"/>
      <c r="AM8" s="49">
        <v>1</v>
      </c>
      <c r="AN8" s="50">
        <v>0</v>
      </c>
      <c r="AO8" s="50">
        <v>0</v>
      </c>
    </row>
    <row r="9" spans="1:41" s="29" customFormat="1" ht="15.75" thickBot="1">
      <c r="A9" s="472" t="s">
        <v>18</v>
      </c>
      <c r="B9" s="473"/>
      <c r="C9" s="41">
        <f>SUM(C7:C8)</f>
        <v>74980</v>
      </c>
      <c r="D9" s="41">
        <f t="shared" ref="D9:E9" si="2">SUM(D7:D8)</f>
        <v>66913</v>
      </c>
      <c r="E9" s="41">
        <f t="shared" si="2"/>
        <v>65849</v>
      </c>
      <c r="F9" s="89">
        <f>E9/D9</f>
        <v>0.98409875509990585</v>
      </c>
      <c r="G9" s="41">
        <f>SUM(G7:G8)</f>
        <v>8604</v>
      </c>
      <c r="H9" s="41">
        <f t="shared" ref="H9:I9" si="3">SUM(H7:H8)</f>
        <v>11814</v>
      </c>
      <c r="I9" s="41">
        <f t="shared" si="3"/>
        <v>10157</v>
      </c>
      <c r="J9" s="89">
        <f>I9/H9</f>
        <v>0.85974267817843242</v>
      </c>
      <c r="K9" s="42">
        <f>SUM(K7:K8)</f>
        <v>0</v>
      </c>
      <c r="L9" s="90">
        <f t="shared" ref="L9:M9" si="4">SUM(L7:L8)</f>
        <v>471</v>
      </c>
      <c r="M9" s="90">
        <f t="shared" si="4"/>
        <v>471</v>
      </c>
      <c r="N9" s="91">
        <f>M9/L9</f>
        <v>1</v>
      </c>
      <c r="O9" s="42">
        <f>SUM(O7:O8)</f>
        <v>0</v>
      </c>
      <c r="P9" s="90">
        <f t="shared" ref="P9:Q9" si="5">SUM(P7:P8)</f>
        <v>16115</v>
      </c>
      <c r="Q9" s="90">
        <f t="shared" si="5"/>
        <v>29</v>
      </c>
      <c r="R9" s="91">
        <f>Q9/P9</f>
        <v>1.7995656220912194E-3</v>
      </c>
      <c r="S9" s="41">
        <f>SUM(S7:S8)</f>
        <v>83584</v>
      </c>
      <c r="T9" s="41">
        <f t="shared" ref="T9:U9" si="6">SUM(T7:T8)</f>
        <v>95313</v>
      </c>
      <c r="U9" s="41">
        <f t="shared" si="6"/>
        <v>76506</v>
      </c>
      <c r="V9" s="89">
        <f>U9/T9</f>
        <v>0.8026816908501464</v>
      </c>
      <c r="W9" s="42">
        <f>SUM(W7:W8)</f>
        <v>0</v>
      </c>
      <c r="X9" s="90">
        <f t="shared" ref="X9:Y9" si="7">SUM(X7:X8)</f>
        <v>16751</v>
      </c>
      <c r="Y9" s="90">
        <f t="shared" si="7"/>
        <v>16751</v>
      </c>
      <c r="Z9" s="91">
        <f>Y9/X9</f>
        <v>1</v>
      </c>
      <c r="AA9" s="41">
        <f t="shared" ref="AA9:AO9" si="8">SUM(AA7:AA8)</f>
        <v>62609</v>
      </c>
      <c r="AB9" s="41">
        <f t="shared" si="8"/>
        <v>62609</v>
      </c>
      <c r="AC9" s="41">
        <f t="shared" si="8"/>
        <v>62609</v>
      </c>
      <c r="AD9" s="89">
        <f>AC9/AB9</f>
        <v>1</v>
      </c>
      <c r="AE9" s="41">
        <f>SUM(AE7:AE8)</f>
        <v>20975</v>
      </c>
      <c r="AF9" s="41">
        <f t="shared" ref="AF9:AG9" si="9">SUM(AF7:AF8)</f>
        <v>15953</v>
      </c>
      <c r="AG9" s="41">
        <f t="shared" si="9"/>
        <v>15953</v>
      </c>
      <c r="AH9" s="89">
        <f>AG9/AF9</f>
        <v>1</v>
      </c>
      <c r="AI9" s="41">
        <f t="shared" si="8"/>
        <v>83584</v>
      </c>
      <c r="AJ9" s="41">
        <f t="shared" si="8"/>
        <v>95313</v>
      </c>
      <c r="AK9" s="41">
        <f t="shared" si="8"/>
        <v>95313</v>
      </c>
      <c r="AL9" s="89">
        <f>AK9/AJ9</f>
        <v>1</v>
      </c>
      <c r="AM9" s="41">
        <f t="shared" si="8"/>
        <v>20</v>
      </c>
      <c r="AN9" s="41">
        <f t="shared" si="8"/>
        <v>0</v>
      </c>
      <c r="AO9" s="43">
        <f t="shared" si="8"/>
        <v>0</v>
      </c>
    </row>
    <row r="10" spans="1:41">
      <c r="AD10" s="96"/>
    </row>
    <row r="12" spans="1:41">
      <c r="B12" s="13" t="str">
        <f>Tartalomjegyzék!A20</f>
        <v>Cibakháza, 2016. május 31.</v>
      </c>
    </row>
  </sheetData>
  <mergeCells count="22">
    <mergeCell ref="A9:B9"/>
    <mergeCell ref="A2:AO2"/>
    <mergeCell ref="AM1:AO1"/>
    <mergeCell ref="A4:B4"/>
    <mergeCell ref="AM4:AO4"/>
    <mergeCell ref="C4:V4"/>
    <mergeCell ref="W4:AL4"/>
    <mergeCell ref="C5:F5"/>
    <mergeCell ref="G5:J5"/>
    <mergeCell ref="K5:N5"/>
    <mergeCell ref="O5:R5"/>
    <mergeCell ref="AM5:AM6"/>
    <mergeCell ref="AN5:AN6"/>
    <mergeCell ref="AO5:AO6"/>
    <mergeCell ref="A3:AL3"/>
    <mergeCell ref="S5:V5"/>
    <mergeCell ref="W5:Z5"/>
    <mergeCell ref="AA5:AD5"/>
    <mergeCell ref="AE5:AH5"/>
    <mergeCell ref="AI5:AL5"/>
    <mergeCell ref="A5:A6"/>
    <mergeCell ref="B5:B6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O16"/>
  <sheetViews>
    <sheetView topLeftCell="AB1" workbookViewId="0">
      <selection activeCell="A2" sqref="A2:AO2"/>
    </sheetView>
  </sheetViews>
  <sheetFormatPr defaultRowHeight="15"/>
  <cols>
    <col min="1" max="1" width="5.140625" style="38" customWidth="1"/>
    <col min="2" max="2" width="56" style="38" bestFit="1" customWidth="1"/>
    <col min="3" max="6" width="16.5703125" style="38" customWidth="1"/>
    <col min="7" max="7" width="11.42578125" style="38" customWidth="1"/>
    <col min="8" max="8" width="14" style="38" customWidth="1"/>
    <col min="9" max="9" width="11.42578125" style="38" customWidth="1"/>
    <col min="10" max="10" width="13.5703125" style="38" customWidth="1"/>
    <col min="11" max="22" width="14.42578125" style="38" customWidth="1"/>
    <col min="23" max="26" width="14.28515625" style="38" customWidth="1"/>
    <col min="27" max="27" width="13.140625" style="38" customWidth="1"/>
    <col min="28" max="28" width="14.5703125" style="38" customWidth="1"/>
    <col min="29" max="29" width="13.140625" style="38" customWidth="1"/>
    <col min="30" max="30" width="14.140625" style="38" customWidth="1"/>
    <col min="31" max="31" width="13.7109375" style="38" customWidth="1"/>
    <col min="32" max="32" width="15" style="38" customWidth="1"/>
    <col min="33" max="33" width="12.42578125" style="38" customWidth="1"/>
    <col min="34" max="34" width="13.85546875" style="38" customWidth="1"/>
    <col min="35" max="35" width="11.28515625" style="38" customWidth="1"/>
    <col min="36" max="36" width="14.5703125" style="38" customWidth="1"/>
    <col min="37" max="37" width="13" style="38" customWidth="1"/>
    <col min="38" max="38" width="14" style="38" customWidth="1"/>
    <col min="39" max="39" width="10.42578125" style="38" customWidth="1"/>
    <col min="40" max="40" width="11.140625" style="38" customWidth="1"/>
    <col min="41" max="41" width="17.42578125" style="38" customWidth="1"/>
    <col min="42" max="16384" width="9.140625" style="38"/>
  </cols>
  <sheetData>
    <row r="1" spans="1:41">
      <c r="AM1" s="447" t="s">
        <v>70</v>
      </c>
      <c r="AN1" s="447"/>
      <c r="AO1" s="447"/>
    </row>
    <row r="2" spans="1:41" s="1" customFormat="1">
      <c r="A2" s="447" t="s">
        <v>136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93" t="s">
        <v>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5"/>
    </row>
    <row r="4" spans="1:41" s="2" customFormat="1" ht="15" customHeight="1" thickBot="1">
      <c r="A4" s="447" t="s">
        <v>27</v>
      </c>
      <c r="B4" s="447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75" t="s">
        <v>2</v>
      </c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4" t="s">
        <v>3</v>
      </c>
      <c r="AN4" s="447"/>
      <c r="AO4" s="447"/>
    </row>
    <row r="5" spans="1:41" s="2" customFormat="1" ht="40.5" customHeight="1">
      <c r="A5" s="487" t="s">
        <v>21</v>
      </c>
      <c r="B5" s="489" t="s">
        <v>37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37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91" t="s">
        <v>5</v>
      </c>
      <c r="AN5" s="479" t="s">
        <v>6</v>
      </c>
      <c r="AO5" s="450" t="s">
        <v>7</v>
      </c>
    </row>
    <row r="6" spans="1:41" s="2" customFormat="1" ht="32.25" customHeight="1">
      <c r="A6" s="488"/>
      <c r="B6" s="490"/>
      <c r="C6" s="151" t="s">
        <v>101</v>
      </c>
      <c r="D6" s="152" t="s">
        <v>100</v>
      </c>
      <c r="E6" s="152" t="s">
        <v>102</v>
      </c>
      <c r="F6" s="85" t="s">
        <v>103</v>
      </c>
      <c r="G6" s="99" t="s">
        <v>101</v>
      </c>
      <c r="H6" s="80" t="s">
        <v>100</v>
      </c>
      <c r="I6" s="80" t="s">
        <v>102</v>
      </c>
      <c r="J6" s="85" t="s">
        <v>103</v>
      </c>
      <c r="K6" s="99" t="s">
        <v>101</v>
      </c>
      <c r="L6" s="80" t="s">
        <v>100</v>
      </c>
      <c r="M6" s="80" t="s">
        <v>102</v>
      </c>
      <c r="N6" s="85" t="s">
        <v>103</v>
      </c>
      <c r="O6" s="99" t="s">
        <v>101</v>
      </c>
      <c r="P6" s="80" t="s">
        <v>100</v>
      </c>
      <c r="Q6" s="80" t="s">
        <v>102</v>
      </c>
      <c r="R6" s="85" t="s">
        <v>103</v>
      </c>
      <c r="S6" s="99" t="s">
        <v>101</v>
      </c>
      <c r="T6" s="80" t="s">
        <v>100</v>
      </c>
      <c r="U6" s="80" t="s">
        <v>102</v>
      </c>
      <c r="V6" s="157" t="s">
        <v>103</v>
      </c>
      <c r="W6" s="99" t="s">
        <v>101</v>
      </c>
      <c r="X6" s="80" t="s">
        <v>100</v>
      </c>
      <c r="Y6" s="80" t="s">
        <v>102</v>
      </c>
      <c r="Z6" s="85" t="s">
        <v>103</v>
      </c>
      <c r="AA6" s="99" t="s">
        <v>101</v>
      </c>
      <c r="AB6" s="80" t="s">
        <v>100</v>
      </c>
      <c r="AC6" s="80" t="s">
        <v>102</v>
      </c>
      <c r="AD6" s="85" t="s">
        <v>103</v>
      </c>
      <c r="AE6" s="99" t="s">
        <v>101</v>
      </c>
      <c r="AF6" s="80" t="s">
        <v>100</v>
      </c>
      <c r="AG6" s="80" t="s">
        <v>102</v>
      </c>
      <c r="AH6" s="85" t="s">
        <v>103</v>
      </c>
      <c r="AI6" s="99" t="s">
        <v>101</v>
      </c>
      <c r="AJ6" s="80" t="s">
        <v>100</v>
      </c>
      <c r="AK6" s="80" t="s">
        <v>102</v>
      </c>
      <c r="AL6" s="85" t="s">
        <v>103</v>
      </c>
      <c r="AM6" s="492"/>
      <c r="AN6" s="480"/>
      <c r="AO6" s="481"/>
    </row>
    <row r="7" spans="1:41" s="1" customFormat="1">
      <c r="A7" s="17" t="s">
        <v>42</v>
      </c>
      <c r="B7" s="98" t="s">
        <v>38</v>
      </c>
      <c r="C7" s="100">
        <v>60785</v>
      </c>
      <c r="D7" s="10">
        <f>58732+14789</f>
        <v>73521</v>
      </c>
      <c r="E7" s="10">
        <f>54743+14787</f>
        <v>69530</v>
      </c>
      <c r="F7" s="101">
        <f>E7/D7</f>
        <v>0.94571618993212825</v>
      </c>
      <c r="G7" s="102"/>
      <c r="H7" s="18">
        <v>3549</v>
      </c>
      <c r="I7" s="18">
        <v>3543</v>
      </c>
      <c r="J7" s="93">
        <f>I7/H7</f>
        <v>0.99830938292476756</v>
      </c>
      <c r="K7" s="102"/>
      <c r="L7" s="18">
        <v>19</v>
      </c>
      <c r="M7" s="5"/>
      <c r="N7" s="106"/>
      <c r="O7" s="102"/>
      <c r="P7" s="18">
        <v>6659</v>
      </c>
      <c r="Q7" s="5"/>
      <c r="R7" s="106"/>
      <c r="S7" s="107">
        <f>C7+G7+K7+O7</f>
        <v>60785</v>
      </c>
      <c r="T7" s="18">
        <f t="shared" ref="T7:U10" si="0">D7+H7+L7+P7</f>
        <v>83748</v>
      </c>
      <c r="U7" s="18">
        <f t="shared" si="0"/>
        <v>73073</v>
      </c>
      <c r="V7" s="130">
        <f>U7/T7</f>
        <v>0.87253426947509194</v>
      </c>
      <c r="W7" s="102">
        <v>0</v>
      </c>
      <c r="X7" s="5"/>
      <c r="Y7" s="4">
        <v>24</v>
      </c>
      <c r="Z7" s="106"/>
      <c r="AA7" s="100">
        <v>50283</v>
      </c>
      <c r="AB7" s="5"/>
      <c r="AC7" s="5"/>
      <c r="AD7" s="106"/>
      <c r="AE7" s="108">
        <v>10276</v>
      </c>
      <c r="AF7" s="5"/>
      <c r="AG7" s="5"/>
      <c r="AH7" s="106"/>
      <c r="AI7" s="108">
        <f>W7+AA7+AE7</f>
        <v>60559</v>
      </c>
      <c r="AJ7" s="5">
        <f t="shared" ref="AJ7:AK10" si="1">X7+AB7+AF7</f>
        <v>0</v>
      </c>
      <c r="AK7" s="4">
        <f t="shared" si="1"/>
        <v>24</v>
      </c>
      <c r="AL7" s="106"/>
      <c r="AM7" s="24">
        <v>16</v>
      </c>
      <c r="AN7" s="5"/>
      <c r="AO7" s="5">
        <v>0</v>
      </c>
    </row>
    <row r="8" spans="1:41" s="1" customFormat="1">
      <c r="A8" s="17" t="s">
        <v>42</v>
      </c>
      <c r="B8" s="98" t="s">
        <v>39</v>
      </c>
      <c r="C8" s="100">
        <v>4358</v>
      </c>
      <c r="D8" s="10">
        <f>492+928</f>
        <v>1420</v>
      </c>
      <c r="E8" s="5"/>
      <c r="F8" s="104"/>
      <c r="G8" s="100">
        <v>5325</v>
      </c>
      <c r="H8" s="10">
        <v>7090</v>
      </c>
      <c r="I8" s="10">
        <v>5564</v>
      </c>
      <c r="J8" s="101">
        <f>I8/H8</f>
        <v>0.78476727785613543</v>
      </c>
      <c r="K8" s="107">
        <v>1200</v>
      </c>
      <c r="L8" s="18">
        <v>1200</v>
      </c>
      <c r="M8" s="18">
        <v>19</v>
      </c>
      <c r="N8" s="93">
        <f>M8/L8</f>
        <v>1.5833333333333335E-2</v>
      </c>
      <c r="O8" s="102"/>
      <c r="P8" s="5"/>
      <c r="Q8" s="5"/>
      <c r="R8" s="106"/>
      <c r="S8" s="107">
        <f t="shared" ref="S8:S10" si="2">C8+G8+K8+O8</f>
        <v>10883</v>
      </c>
      <c r="T8" s="18">
        <f t="shared" si="0"/>
        <v>9710</v>
      </c>
      <c r="U8" s="18">
        <f t="shared" si="0"/>
        <v>5583</v>
      </c>
      <c r="V8" s="130">
        <f t="shared" ref="V8:V13" si="3">U8/T8</f>
        <v>0.57497425334706487</v>
      </c>
      <c r="W8" s="108">
        <v>5144</v>
      </c>
      <c r="X8" s="5"/>
      <c r="Y8" s="4">
        <f>5836+3398</f>
        <v>9234</v>
      </c>
      <c r="Z8" s="106"/>
      <c r="AA8" s="107">
        <v>7210</v>
      </c>
      <c r="AB8" s="5"/>
      <c r="AC8" s="5"/>
      <c r="AD8" s="106"/>
      <c r="AE8" s="102"/>
      <c r="AF8" s="5"/>
      <c r="AG8" s="5"/>
      <c r="AH8" s="106"/>
      <c r="AI8" s="108">
        <f t="shared" ref="AI8:AI10" si="4">W8+AA8+AE8</f>
        <v>12354</v>
      </c>
      <c r="AJ8" s="5">
        <f t="shared" si="1"/>
        <v>0</v>
      </c>
      <c r="AK8" s="4">
        <f t="shared" si="1"/>
        <v>9234</v>
      </c>
      <c r="AL8" s="161"/>
      <c r="AM8" s="24">
        <v>2</v>
      </c>
      <c r="AN8" s="5"/>
      <c r="AO8" s="5">
        <v>0</v>
      </c>
    </row>
    <row r="9" spans="1:41" s="1" customFormat="1">
      <c r="A9" s="17" t="s">
        <v>42</v>
      </c>
      <c r="B9" s="98" t="s">
        <v>40</v>
      </c>
      <c r="C9" s="100">
        <v>1245</v>
      </c>
      <c r="D9" s="10">
        <v>1245</v>
      </c>
      <c r="E9" s="5"/>
      <c r="F9" s="104"/>
      <c r="G9" s="102"/>
      <c r="H9" s="5"/>
      <c r="I9" s="5"/>
      <c r="J9" s="106"/>
      <c r="K9" s="102"/>
      <c r="L9" s="5"/>
      <c r="M9" s="5"/>
      <c r="N9" s="106"/>
      <c r="O9" s="102"/>
      <c r="P9" s="5"/>
      <c r="Q9" s="5"/>
      <c r="R9" s="106"/>
      <c r="S9" s="107">
        <f t="shared" si="2"/>
        <v>1245</v>
      </c>
      <c r="T9" s="18">
        <f t="shared" si="0"/>
        <v>1245</v>
      </c>
      <c r="U9" s="5">
        <f t="shared" si="0"/>
        <v>0</v>
      </c>
      <c r="V9" s="131"/>
      <c r="W9" s="102"/>
      <c r="X9" s="5"/>
      <c r="Y9" s="5"/>
      <c r="Z9" s="106"/>
      <c r="AA9" s="102"/>
      <c r="AB9" s="5"/>
      <c r="AC9" s="5"/>
      <c r="AD9" s="106"/>
      <c r="AE9" s="102"/>
      <c r="AF9" s="5"/>
      <c r="AG9" s="5"/>
      <c r="AH9" s="106"/>
      <c r="AI9" s="102">
        <f t="shared" si="4"/>
        <v>0</v>
      </c>
      <c r="AJ9" s="5">
        <f t="shared" si="1"/>
        <v>0</v>
      </c>
      <c r="AK9" s="5">
        <f t="shared" si="1"/>
        <v>0</v>
      </c>
      <c r="AL9" s="161"/>
      <c r="AM9" s="23"/>
      <c r="AN9" s="5"/>
      <c r="AO9" s="5">
        <v>0</v>
      </c>
    </row>
    <row r="10" spans="1:41" s="1" customFormat="1">
      <c r="A10" s="17" t="s">
        <v>43</v>
      </c>
      <c r="B10" s="154" t="s">
        <v>41</v>
      </c>
      <c r="C10" s="100">
        <v>7085</v>
      </c>
      <c r="D10" s="5"/>
      <c r="E10" s="5"/>
      <c r="F10" s="104"/>
      <c r="G10" s="100">
        <v>2418</v>
      </c>
      <c r="H10" s="5"/>
      <c r="I10" s="5"/>
      <c r="J10" s="106"/>
      <c r="K10" s="102"/>
      <c r="L10" s="5"/>
      <c r="M10" s="5"/>
      <c r="N10" s="106"/>
      <c r="O10" s="102"/>
      <c r="P10" s="5"/>
      <c r="Q10" s="5"/>
      <c r="R10" s="106"/>
      <c r="S10" s="107">
        <f t="shared" si="2"/>
        <v>9503</v>
      </c>
      <c r="T10" s="5">
        <f t="shared" si="0"/>
        <v>0</v>
      </c>
      <c r="U10" s="5">
        <f t="shared" si="0"/>
        <v>0</v>
      </c>
      <c r="V10" s="131"/>
      <c r="W10" s="100">
        <v>9503</v>
      </c>
      <c r="X10" s="5"/>
      <c r="Y10" s="5"/>
      <c r="Z10" s="106"/>
      <c r="AA10" s="102"/>
      <c r="AB10" s="5"/>
      <c r="AC10" s="5"/>
      <c r="AD10" s="106"/>
      <c r="AE10" s="102"/>
      <c r="AF10" s="5"/>
      <c r="AG10" s="5"/>
      <c r="AH10" s="106"/>
      <c r="AI10" s="108">
        <f t="shared" si="4"/>
        <v>9503</v>
      </c>
      <c r="AJ10" s="5">
        <f t="shared" si="1"/>
        <v>0</v>
      </c>
      <c r="AK10" s="5">
        <f t="shared" si="1"/>
        <v>0</v>
      </c>
      <c r="AL10" s="161"/>
      <c r="AM10" s="23"/>
      <c r="AN10" s="5"/>
      <c r="AO10" s="5">
        <v>0</v>
      </c>
    </row>
    <row r="11" spans="1:41" s="1" customFormat="1">
      <c r="A11" s="17" t="s">
        <v>42</v>
      </c>
      <c r="B11" s="154" t="s">
        <v>127</v>
      </c>
      <c r="C11" s="102"/>
      <c r="D11" s="10">
        <v>1692</v>
      </c>
      <c r="E11" s="10">
        <v>3681</v>
      </c>
      <c r="F11" s="101">
        <f>E11/D11</f>
        <v>2.1755319148936172</v>
      </c>
      <c r="G11" s="102"/>
      <c r="H11" s="5"/>
      <c r="I11" s="5"/>
      <c r="J11" s="106"/>
      <c r="K11" s="102"/>
      <c r="L11" s="5"/>
      <c r="M11" s="5"/>
      <c r="N11" s="106"/>
      <c r="O11" s="102"/>
      <c r="P11" s="5"/>
      <c r="Q11" s="5"/>
      <c r="R11" s="106"/>
      <c r="S11" s="102">
        <f t="shared" ref="S11" si="5">C11+G11+K11+O11</f>
        <v>0</v>
      </c>
      <c r="T11" s="18">
        <f t="shared" ref="T11" si="6">D11+H11+L11+P11</f>
        <v>1692</v>
      </c>
      <c r="U11" s="18">
        <f t="shared" ref="U11" si="7">E11+I11+M11+Q11</f>
        <v>3681</v>
      </c>
      <c r="V11" s="130">
        <f t="shared" si="3"/>
        <v>2.1755319148936172</v>
      </c>
      <c r="W11" s="102"/>
      <c r="X11" s="10">
        <v>514</v>
      </c>
      <c r="Y11" s="10">
        <v>2859</v>
      </c>
      <c r="Z11" s="86"/>
      <c r="AA11" s="102"/>
      <c r="AB11" s="5"/>
      <c r="AC11" s="5"/>
      <c r="AD11" s="106"/>
      <c r="AE11" s="102"/>
      <c r="AF11" s="5"/>
      <c r="AG11" s="5"/>
      <c r="AH11" s="106"/>
      <c r="AI11" s="102">
        <f t="shared" ref="AI11:AI12" si="8">W11+AA11+AE11</f>
        <v>0</v>
      </c>
      <c r="AJ11" s="4">
        <f t="shared" ref="AJ11:AJ12" si="9">X11+AB11+AF11</f>
        <v>514</v>
      </c>
      <c r="AK11" s="4">
        <f t="shared" ref="AK11:AK12" si="10">Y11+AC11+AG11</f>
        <v>2859</v>
      </c>
      <c r="AL11" s="162">
        <f>AK11/AJ11</f>
        <v>5.5622568093385212</v>
      </c>
      <c r="AM11" s="23"/>
      <c r="AN11" s="5"/>
      <c r="AO11" s="5"/>
    </row>
    <row r="12" spans="1:41" s="1" customFormat="1">
      <c r="A12" s="17" t="s">
        <v>42</v>
      </c>
      <c r="B12" s="154" t="s">
        <v>112</v>
      </c>
      <c r="C12" s="102"/>
      <c r="D12" s="5"/>
      <c r="E12" s="5"/>
      <c r="F12" s="104"/>
      <c r="G12" s="110"/>
      <c r="H12" s="50"/>
      <c r="I12" s="50"/>
      <c r="J12" s="125"/>
      <c r="K12" s="110"/>
      <c r="L12" s="50"/>
      <c r="M12" s="50"/>
      <c r="N12" s="125"/>
      <c r="O12" s="110"/>
      <c r="P12" s="50"/>
      <c r="Q12" s="50"/>
      <c r="R12" s="125"/>
      <c r="S12" s="102">
        <f t="shared" ref="S12" si="11">C12+G12+K12+O12</f>
        <v>0</v>
      </c>
      <c r="T12" s="5">
        <f t="shared" ref="T12" si="12">D12+H12+L12+P12</f>
        <v>0</v>
      </c>
      <c r="U12" s="5">
        <f t="shared" ref="U12" si="13">E12+I12+M12+Q12</f>
        <v>0</v>
      </c>
      <c r="V12" s="131"/>
      <c r="W12" s="102"/>
      <c r="X12" s="5"/>
      <c r="Y12" s="5"/>
      <c r="Z12" s="106"/>
      <c r="AA12" s="102"/>
      <c r="AB12" s="5"/>
      <c r="AC12" s="5"/>
      <c r="AD12" s="106"/>
      <c r="AE12" s="102"/>
      <c r="AF12" s="18">
        <f>81386+14495</f>
        <v>95881</v>
      </c>
      <c r="AG12" s="18">
        <f>14495+63276</f>
        <v>77771</v>
      </c>
      <c r="AH12" s="93">
        <f>AG12/AF12</f>
        <v>0.81112003420907164</v>
      </c>
      <c r="AI12" s="102">
        <f t="shared" si="8"/>
        <v>0</v>
      </c>
      <c r="AJ12" s="4">
        <f t="shared" si="9"/>
        <v>95881</v>
      </c>
      <c r="AK12" s="4">
        <f t="shared" si="10"/>
        <v>77771</v>
      </c>
      <c r="AL12" s="162">
        <f>AK12/AJ12</f>
        <v>0.81112003420907164</v>
      </c>
      <c r="AM12" s="23"/>
      <c r="AN12" s="5"/>
      <c r="AO12" s="5"/>
    </row>
    <row r="13" spans="1:41" s="29" customFormat="1" ht="15.75" thickBot="1">
      <c r="A13" s="485" t="s">
        <v>18</v>
      </c>
      <c r="B13" s="486"/>
      <c r="C13" s="140">
        <f>SUM(C7:C12)</f>
        <v>73473</v>
      </c>
      <c r="D13" s="141">
        <f t="shared" ref="D13:E13" si="14">SUM(D7:D12)</f>
        <v>77878</v>
      </c>
      <c r="E13" s="141">
        <f t="shared" si="14"/>
        <v>73211</v>
      </c>
      <c r="F13" s="143">
        <f>E13/D13</f>
        <v>0.94007293458999974</v>
      </c>
      <c r="G13" s="140">
        <f>SUM(G7:G11)</f>
        <v>7743</v>
      </c>
      <c r="H13" s="141">
        <f>SUM(H7:H11)</f>
        <v>10639</v>
      </c>
      <c r="I13" s="141">
        <f>SUM(I7:I11)</f>
        <v>9107</v>
      </c>
      <c r="J13" s="143">
        <f>I13/H13</f>
        <v>0.85600150390074259</v>
      </c>
      <c r="K13" s="140">
        <f t="shared" ref="K13:U13" si="15">SUM(K7:K11)</f>
        <v>1200</v>
      </c>
      <c r="L13" s="141">
        <f t="shared" si="15"/>
        <v>1219</v>
      </c>
      <c r="M13" s="141">
        <f t="shared" si="15"/>
        <v>19</v>
      </c>
      <c r="N13" s="143">
        <f t="shared" si="15"/>
        <v>1.5833333333333335E-2</v>
      </c>
      <c r="O13" s="140">
        <f t="shared" si="15"/>
        <v>0</v>
      </c>
      <c r="P13" s="141">
        <f t="shared" si="15"/>
        <v>6659</v>
      </c>
      <c r="Q13" s="141">
        <f t="shared" si="15"/>
        <v>0</v>
      </c>
      <c r="R13" s="142">
        <f t="shared" si="15"/>
        <v>0</v>
      </c>
      <c r="S13" s="140">
        <f t="shared" si="15"/>
        <v>82416</v>
      </c>
      <c r="T13" s="141">
        <f t="shared" si="15"/>
        <v>96395</v>
      </c>
      <c r="U13" s="141">
        <f t="shared" si="15"/>
        <v>82337</v>
      </c>
      <c r="V13" s="155">
        <f t="shared" si="3"/>
        <v>0.85416256029877069</v>
      </c>
      <c r="W13" s="140">
        <f t="shared" ref="W13:AD13" si="16">SUM(W7:W11)</f>
        <v>14647</v>
      </c>
      <c r="X13" s="141">
        <f t="shared" si="16"/>
        <v>514</v>
      </c>
      <c r="Y13" s="141">
        <f t="shared" si="16"/>
        <v>12117</v>
      </c>
      <c r="Z13" s="142">
        <f t="shared" si="16"/>
        <v>0</v>
      </c>
      <c r="AA13" s="140">
        <f t="shared" si="16"/>
        <v>57493</v>
      </c>
      <c r="AB13" s="158">
        <f t="shared" si="16"/>
        <v>0</v>
      </c>
      <c r="AC13" s="158">
        <f t="shared" si="16"/>
        <v>0</v>
      </c>
      <c r="AD13" s="159">
        <f t="shared" si="16"/>
        <v>0</v>
      </c>
      <c r="AE13" s="140">
        <f>SUM(AE7:AE12)</f>
        <v>10276</v>
      </c>
      <c r="AF13" s="141">
        <f t="shared" ref="AF13:AG13" si="17">SUM(AF7:AF12)</f>
        <v>95881</v>
      </c>
      <c r="AG13" s="141">
        <f t="shared" si="17"/>
        <v>77771</v>
      </c>
      <c r="AH13" s="143">
        <f>AG13/AF13</f>
        <v>0.81112003420907164</v>
      </c>
      <c r="AI13" s="140">
        <f>SUM(AI7:AI12)</f>
        <v>82416</v>
      </c>
      <c r="AJ13" s="141">
        <f>SUM(AJ7:AJ12)</f>
        <v>96395</v>
      </c>
      <c r="AK13" s="141">
        <f t="shared" ref="AK13" si="18">SUM(AK7:AK12)</f>
        <v>89888</v>
      </c>
      <c r="AL13" s="143">
        <f>AK13/AJ13</f>
        <v>0.93249649878105711</v>
      </c>
      <c r="AM13" s="160"/>
      <c r="AN13" s="156"/>
      <c r="AO13" s="156"/>
    </row>
    <row r="16" spans="1:41">
      <c r="B16" s="13" t="str">
        <f>Tartalomjegyzék!A20</f>
        <v>Cibakháza, 2016. május 31.</v>
      </c>
    </row>
  </sheetData>
  <mergeCells count="22">
    <mergeCell ref="AM5:AM6"/>
    <mergeCell ref="AN5:AN6"/>
    <mergeCell ref="AO5:AO6"/>
    <mergeCell ref="A2:AO2"/>
    <mergeCell ref="AM1:AO1"/>
    <mergeCell ref="A4:B4"/>
    <mergeCell ref="AM4:AO4"/>
    <mergeCell ref="C4:V4"/>
    <mergeCell ref="W4:AL4"/>
    <mergeCell ref="A3:AL3"/>
    <mergeCell ref="AA5:AD5"/>
    <mergeCell ref="AE5:AH5"/>
    <mergeCell ref="AI5:AL5"/>
    <mergeCell ref="K5:N5"/>
    <mergeCell ref="O5:R5"/>
    <mergeCell ref="S5:V5"/>
    <mergeCell ref="W5:Z5"/>
    <mergeCell ref="A13:B13"/>
    <mergeCell ref="A5:A6"/>
    <mergeCell ref="B5:B6"/>
    <mergeCell ref="C5:F5"/>
    <mergeCell ref="G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12"/>
  <sheetViews>
    <sheetView topLeftCell="AB1" workbookViewId="0">
      <selection activeCell="A2" sqref="A2:AO2"/>
    </sheetView>
  </sheetViews>
  <sheetFormatPr defaultRowHeight="15"/>
  <cols>
    <col min="1" max="1" width="3.5703125" style="38" customWidth="1"/>
    <col min="2" max="2" width="38.42578125" style="38" customWidth="1"/>
    <col min="3" max="3" width="12.7109375" style="38" customWidth="1"/>
    <col min="4" max="4" width="14.28515625" style="38" customWidth="1"/>
    <col min="5" max="5" width="12.7109375" style="38" customWidth="1"/>
    <col min="6" max="6" width="14" style="38" customWidth="1"/>
    <col min="7" max="7" width="13" style="38" customWidth="1"/>
    <col min="8" max="8" width="14.28515625" style="38" customWidth="1"/>
    <col min="9" max="9" width="13" style="38" customWidth="1"/>
    <col min="10" max="10" width="15" style="38" customWidth="1"/>
    <col min="11" max="11" width="14.140625" style="38" bestFit="1" customWidth="1"/>
    <col min="12" max="14" width="14.140625" style="38" customWidth="1"/>
    <col min="15" max="15" width="13.85546875" style="38" bestFit="1" customWidth="1"/>
    <col min="16" max="22" width="13.85546875" style="38" customWidth="1"/>
    <col min="23" max="23" width="11.42578125" style="38" bestFit="1" customWidth="1"/>
    <col min="24" max="24" width="15.42578125" style="38" customWidth="1"/>
    <col min="25" max="25" width="11.42578125" style="38" customWidth="1"/>
    <col min="26" max="26" width="16.140625" style="38" customWidth="1"/>
    <col min="27" max="27" width="11.42578125" style="38" customWidth="1"/>
    <col min="28" max="28" width="14.140625" style="38" customWidth="1"/>
    <col min="29" max="29" width="11.42578125" style="38" customWidth="1"/>
    <col min="30" max="30" width="13.5703125" style="38" customWidth="1"/>
    <col min="31" max="31" width="12" style="38" customWidth="1"/>
    <col min="32" max="32" width="14.28515625" style="38" customWidth="1"/>
    <col min="33" max="33" width="12" style="38" customWidth="1"/>
    <col min="34" max="34" width="14.5703125" style="38" customWidth="1"/>
    <col min="35" max="35" width="13.140625" style="38" customWidth="1"/>
    <col min="36" max="36" width="15.28515625" style="38" customWidth="1"/>
    <col min="37" max="37" width="11.28515625" style="38" customWidth="1"/>
    <col min="38" max="38" width="15" style="38" customWidth="1"/>
    <col min="39" max="39" width="10.85546875" style="38" customWidth="1"/>
    <col min="40" max="40" width="10.42578125" style="38" customWidth="1"/>
    <col min="41" max="41" width="17.28515625" style="38" bestFit="1" customWidth="1"/>
    <col min="42" max="16384" width="9.140625" style="38"/>
  </cols>
  <sheetData>
    <row r="1" spans="1:41">
      <c r="AM1" s="447" t="s">
        <v>71</v>
      </c>
      <c r="AN1" s="447"/>
      <c r="AO1" s="447"/>
    </row>
    <row r="2" spans="1:41" s="1" customFormat="1">
      <c r="A2" s="447" t="s">
        <v>135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93" t="s">
        <v>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5"/>
    </row>
    <row r="4" spans="1:41" s="2" customFormat="1" ht="15" customHeight="1" thickBot="1">
      <c r="A4" s="447" t="s">
        <v>27</v>
      </c>
      <c r="B4" s="447"/>
      <c r="C4" s="496" t="s">
        <v>1</v>
      </c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7"/>
      <c r="W4" s="449" t="s">
        <v>2</v>
      </c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74" t="s">
        <v>3</v>
      </c>
      <c r="AN4" s="447"/>
      <c r="AO4" s="447"/>
    </row>
    <row r="5" spans="1:41" s="2" customFormat="1" ht="32.25" customHeight="1">
      <c r="A5" s="499" t="s">
        <v>21</v>
      </c>
      <c r="B5" s="501" t="s">
        <v>62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41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77" t="s">
        <v>5</v>
      </c>
      <c r="AN5" s="479" t="s">
        <v>6</v>
      </c>
      <c r="AO5" s="450" t="s">
        <v>7</v>
      </c>
    </row>
    <row r="6" spans="1:41" s="2" customFormat="1" ht="29.25" customHeight="1">
      <c r="A6" s="500"/>
      <c r="B6" s="502"/>
      <c r="C6" s="99" t="s">
        <v>101</v>
      </c>
      <c r="D6" s="80" t="s">
        <v>100</v>
      </c>
      <c r="E6" s="80" t="s">
        <v>102</v>
      </c>
      <c r="F6" s="85" t="s">
        <v>103</v>
      </c>
      <c r="G6" s="99" t="s">
        <v>101</v>
      </c>
      <c r="H6" s="80" t="s">
        <v>100</v>
      </c>
      <c r="I6" s="80" t="s">
        <v>102</v>
      </c>
      <c r="J6" s="85" t="s">
        <v>103</v>
      </c>
      <c r="K6" s="99" t="s">
        <v>101</v>
      </c>
      <c r="L6" s="80" t="s">
        <v>100</v>
      </c>
      <c r="M6" s="80" t="s">
        <v>102</v>
      </c>
      <c r="N6" s="85" t="s">
        <v>103</v>
      </c>
      <c r="O6" s="99" t="s">
        <v>101</v>
      </c>
      <c r="P6" s="80" t="s">
        <v>100</v>
      </c>
      <c r="Q6" s="80" t="s">
        <v>102</v>
      </c>
      <c r="R6" s="85" t="s">
        <v>103</v>
      </c>
      <c r="S6" s="99" t="s">
        <v>101</v>
      </c>
      <c r="T6" s="80" t="s">
        <v>100</v>
      </c>
      <c r="U6" s="80" t="s">
        <v>102</v>
      </c>
      <c r="V6" s="85" t="s">
        <v>103</v>
      </c>
      <c r="W6" s="99" t="s">
        <v>101</v>
      </c>
      <c r="X6" s="80" t="s">
        <v>100</v>
      </c>
      <c r="Y6" s="80" t="s">
        <v>102</v>
      </c>
      <c r="Z6" s="85" t="s">
        <v>103</v>
      </c>
      <c r="AA6" s="99" t="s">
        <v>101</v>
      </c>
      <c r="AB6" s="80" t="s">
        <v>100</v>
      </c>
      <c r="AC6" s="80" t="s">
        <v>102</v>
      </c>
      <c r="AD6" s="85" t="s">
        <v>103</v>
      </c>
      <c r="AE6" s="99" t="s">
        <v>101</v>
      </c>
      <c r="AF6" s="80" t="s">
        <v>100</v>
      </c>
      <c r="AG6" s="80" t="s">
        <v>102</v>
      </c>
      <c r="AH6" s="85" t="s">
        <v>103</v>
      </c>
      <c r="AI6" s="99" t="s">
        <v>101</v>
      </c>
      <c r="AJ6" s="80" t="s">
        <v>100</v>
      </c>
      <c r="AK6" s="80" t="s">
        <v>102</v>
      </c>
      <c r="AL6" s="85" t="s">
        <v>103</v>
      </c>
      <c r="AM6" s="478"/>
      <c r="AN6" s="480"/>
      <c r="AO6" s="481"/>
    </row>
    <row r="7" spans="1:41" s="1" customFormat="1">
      <c r="A7" s="17" t="s">
        <v>42</v>
      </c>
      <c r="B7" s="98" t="s">
        <v>56</v>
      </c>
      <c r="C7" s="100">
        <v>5692</v>
      </c>
      <c r="D7" s="10">
        <f>4482+1210</f>
        <v>5692</v>
      </c>
      <c r="E7" s="10">
        <f>4182+1124</f>
        <v>5306</v>
      </c>
      <c r="F7" s="101">
        <f>E7/D7</f>
        <v>0.93218552354181305</v>
      </c>
      <c r="G7" s="100">
        <v>1208</v>
      </c>
      <c r="H7" s="10">
        <v>1457</v>
      </c>
      <c r="I7" s="10">
        <v>1296</v>
      </c>
      <c r="J7" s="101">
        <f>I7/H7</f>
        <v>0.88949897048730264</v>
      </c>
      <c r="K7" s="102"/>
      <c r="L7" s="4">
        <v>12</v>
      </c>
      <c r="M7" s="4">
        <v>12</v>
      </c>
      <c r="N7" s="103">
        <f>M7/L7</f>
        <v>1</v>
      </c>
      <c r="O7" s="102"/>
      <c r="P7" s="5"/>
      <c r="Q7" s="5"/>
      <c r="R7" s="106"/>
      <c r="S7" s="107">
        <f>C7+G7+K7+O7</f>
        <v>6900</v>
      </c>
      <c r="T7" s="18">
        <f t="shared" ref="T7:U7" si="0">D7+H7+L7+P7</f>
        <v>7161</v>
      </c>
      <c r="U7" s="18">
        <f t="shared" si="0"/>
        <v>6614</v>
      </c>
      <c r="V7" s="93">
        <f>U7/T7</f>
        <v>0.92361402038821394</v>
      </c>
      <c r="W7" s="100">
        <v>500</v>
      </c>
      <c r="X7" s="10">
        <v>786</v>
      </c>
      <c r="Y7" s="10">
        <v>764</v>
      </c>
      <c r="Z7" s="101">
        <f>Y7/X7</f>
        <v>0.97201017811704837</v>
      </c>
      <c r="AA7" s="100">
        <v>2469</v>
      </c>
      <c r="AB7" s="5"/>
      <c r="AC7" s="5"/>
      <c r="AD7" s="106"/>
      <c r="AE7" s="100">
        <v>3931</v>
      </c>
      <c r="AF7" s="5"/>
      <c r="AG7" s="5"/>
      <c r="AH7" s="106"/>
      <c r="AI7" s="108">
        <f>W7+AA7+AE7</f>
        <v>6900</v>
      </c>
      <c r="AJ7" s="4">
        <f t="shared" ref="AJ7:AK8" si="1">X7+AB7+AF7</f>
        <v>786</v>
      </c>
      <c r="AK7" s="4">
        <f t="shared" si="1"/>
        <v>764</v>
      </c>
      <c r="AL7" s="103">
        <f>AK7/AJ7</f>
        <v>0.97201017811704837</v>
      </c>
      <c r="AM7" s="24">
        <v>2</v>
      </c>
      <c r="AN7" s="5"/>
      <c r="AO7" s="5"/>
    </row>
    <row r="8" spans="1:41" s="1" customFormat="1" ht="15.75" thickBot="1">
      <c r="A8" s="54"/>
      <c r="B8" s="109" t="s">
        <v>107</v>
      </c>
      <c r="C8" s="110"/>
      <c r="D8" s="50"/>
      <c r="E8" s="50"/>
      <c r="F8" s="125"/>
      <c r="G8" s="110"/>
      <c r="H8" s="50"/>
      <c r="I8" s="50"/>
      <c r="J8" s="125"/>
      <c r="K8" s="110"/>
      <c r="L8" s="50"/>
      <c r="M8" s="50"/>
      <c r="N8" s="111"/>
      <c r="O8" s="110"/>
      <c r="P8" s="49">
        <v>497</v>
      </c>
      <c r="Q8" s="49">
        <v>497</v>
      </c>
      <c r="R8" s="112">
        <f>Q8/P8</f>
        <v>1</v>
      </c>
      <c r="S8" s="110">
        <f t="shared" ref="S8:S9" si="2">C8+G8+K8+O8</f>
        <v>0</v>
      </c>
      <c r="T8" s="56">
        <f t="shared" ref="T8:T9" si="3">D8+H8+L8+P8</f>
        <v>497</v>
      </c>
      <c r="U8" s="56">
        <f t="shared" ref="U8:U9" si="4">E8+I8+M8+Q8</f>
        <v>497</v>
      </c>
      <c r="V8" s="113">
        <f t="shared" ref="V8:V9" si="5">U8/T8</f>
        <v>1</v>
      </c>
      <c r="W8" s="110"/>
      <c r="X8" s="50"/>
      <c r="Y8" s="50"/>
      <c r="Z8" s="111"/>
      <c r="AA8" s="110"/>
      <c r="AB8" s="50"/>
      <c r="AC8" s="50"/>
      <c r="AD8" s="125"/>
      <c r="AE8" s="110"/>
      <c r="AF8" s="55">
        <f>6400+472</f>
        <v>6872</v>
      </c>
      <c r="AG8" s="55">
        <f>6314+472</f>
        <v>6786</v>
      </c>
      <c r="AH8" s="114">
        <f>AG8/AF8</f>
        <v>0.98748544819557627</v>
      </c>
      <c r="AI8" s="115">
        <f>W8+AA8+AE8</f>
        <v>0</v>
      </c>
      <c r="AJ8" s="49">
        <f t="shared" si="1"/>
        <v>6872</v>
      </c>
      <c r="AK8" s="49">
        <f t="shared" si="1"/>
        <v>6786</v>
      </c>
      <c r="AL8" s="112">
        <f t="shared" ref="AL8:AL9" si="6">AK8/AJ8</f>
        <v>0.98748544819557627</v>
      </c>
      <c r="AM8" s="28"/>
      <c r="AN8" s="50"/>
      <c r="AO8" s="50"/>
    </row>
    <row r="9" spans="1:41" s="29" customFormat="1" ht="15.75" thickBot="1">
      <c r="A9" s="472" t="s">
        <v>18</v>
      </c>
      <c r="B9" s="498"/>
      <c r="C9" s="84">
        <f>SUM(C7)</f>
        <v>5692</v>
      </c>
      <c r="D9" s="41">
        <f t="shared" ref="D9:E9" si="7">SUM(D7)</f>
        <v>5692</v>
      </c>
      <c r="E9" s="41">
        <f t="shared" si="7"/>
        <v>5306</v>
      </c>
      <c r="F9" s="116">
        <f>E9/D9</f>
        <v>0.93218552354181305</v>
      </c>
      <c r="G9" s="84">
        <f t="shared" ref="G9:AM9" si="8">SUM(G7)</f>
        <v>1208</v>
      </c>
      <c r="H9" s="41">
        <f t="shared" si="8"/>
        <v>1457</v>
      </c>
      <c r="I9" s="41">
        <f t="shared" si="8"/>
        <v>1296</v>
      </c>
      <c r="J9" s="116">
        <f>I9/H9</f>
        <v>0.88949897048730264</v>
      </c>
      <c r="K9" s="46">
        <f>SUM(K7)</f>
        <v>0</v>
      </c>
      <c r="L9" s="90">
        <f t="shared" ref="L9:M9" si="9">SUM(L7)</f>
        <v>12</v>
      </c>
      <c r="M9" s="90">
        <f t="shared" si="9"/>
        <v>12</v>
      </c>
      <c r="N9" s="117">
        <f>M9/L9</f>
        <v>1</v>
      </c>
      <c r="O9" s="46">
        <f>SUM(O7:O8)</f>
        <v>0</v>
      </c>
      <c r="P9" s="90">
        <f t="shared" ref="P9:Q9" si="10">SUM(P7:P8)</f>
        <v>497</v>
      </c>
      <c r="Q9" s="90">
        <f t="shared" si="10"/>
        <v>497</v>
      </c>
      <c r="R9" s="117">
        <f>Q9/P9</f>
        <v>1</v>
      </c>
      <c r="S9" s="120">
        <f t="shared" si="2"/>
        <v>6900</v>
      </c>
      <c r="T9" s="121">
        <f t="shared" si="3"/>
        <v>7658</v>
      </c>
      <c r="U9" s="121">
        <f t="shared" si="4"/>
        <v>7111</v>
      </c>
      <c r="V9" s="122">
        <f t="shared" si="5"/>
        <v>0.9285714285714286</v>
      </c>
      <c r="W9" s="84">
        <f>SUM(W7:W8)</f>
        <v>500</v>
      </c>
      <c r="X9" s="41">
        <f t="shared" ref="X9:Y9" si="11">SUM(X7:X8)</f>
        <v>786</v>
      </c>
      <c r="Y9" s="41">
        <f t="shared" si="11"/>
        <v>764</v>
      </c>
      <c r="Z9" s="123">
        <f t="shared" ref="Z9" si="12">Y9/X9</f>
        <v>0.97201017811704837</v>
      </c>
      <c r="AA9" s="84">
        <f t="shared" si="8"/>
        <v>2469</v>
      </c>
      <c r="AB9" s="42">
        <f t="shared" si="8"/>
        <v>0</v>
      </c>
      <c r="AC9" s="42">
        <f t="shared" si="8"/>
        <v>0</v>
      </c>
      <c r="AD9" s="53"/>
      <c r="AE9" s="84">
        <f>SUM(AE7:AE8)</f>
        <v>3931</v>
      </c>
      <c r="AF9" s="41">
        <f t="shared" ref="AF9:AH9" si="13">SUM(AF7:AF8)</f>
        <v>6872</v>
      </c>
      <c r="AG9" s="41">
        <f t="shared" si="13"/>
        <v>6786</v>
      </c>
      <c r="AH9" s="116">
        <f t="shared" si="13"/>
        <v>0.98748544819557627</v>
      </c>
      <c r="AI9" s="84">
        <f>SUM(AI7:AI8)</f>
        <v>6900</v>
      </c>
      <c r="AJ9" s="41">
        <f t="shared" ref="AJ9:AK9" si="14">SUM(AJ7:AJ8)</f>
        <v>7658</v>
      </c>
      <c r="AK9" s="41">
        <f t="shared" si="14"/>
        <v>7550</v>
      </c>
      <c r="AL9" s="124">
        <f t="shared" si="6"/>
        <v>0.98589710107077566</v>
      </c>
      <c r="AM9" s="44">
        <f t="shared" si="8"/>
        <v>2</v>
      </c>
      <c r="AN9" s="42"/>
      <c r="AO9" s="53"/>
    </row>
    <row r="12" spans="1:41">
      <c r="B12" s="13" t="str">
        <f>Tartalomjegyzék!A20</f>
        <v>Cibakháza, 2016. május 31.</v>
      </c>
    </row>
  </sheetData>
  <mergeCells count="22">
    <mergeCell ref="A9:B9"/>
    <mergeCell ref="A2:AO2"/>
    <mergeCell ref="C5:F5"/>
    <mergeCell ref="G5:J5"/>
    <mergeCell ref="K5:N5"/>
    <mergeCell ref="O5:R5"/>
    <mergeCell ref="S5:V5"/>
    <mergeCell ref="W5:Z5"/>
    <mergeCell ref="AM5:AM6"/>
    <mergeCell ref="AN5:AN6"/>
    <mergeCell ref="AO5:AO6"/>
    <mergeCell ref="AA5:AD5"/>
    <mergeCell ref="AE5:AH5"/>
    <mergeCell ref="AI5:AL5"/>
    <mergeCell ref="A5:A6"/>
    <mergeCell ref="B5:B6"/>
    <mergeCell ref="AM1:AO1"/>
    <mergeCell ref="A4:B4"/>
    <mergeCell ref="AM4:AO4"/>
    <mergeCell ref="C4:V4"/>
    <mergeCell ref="W4:AL4"/>
    <mergeCell ref="A3:AL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O12"/>
  <sheetViews>
    <sheetView topLeftCell="AG1" workbookViewId="0">
      <selection activeCell="AM1" sqref="AM1:AO1"/>
    </sheetView>
  </sheetViews>
  <sheetFormatPr defaultRowHeight="15"/>
  <cols>
    <col min="1" max="1" width="3.7109375" style="38" customWidth="1"/>
    <col min="2" max="2" width="63.85546875" style="38" bestFit="1" customWidth="1"/>
    <col min="3" max="3" width="13.42578125" style="38" customWidth="1"/>
    <col min="4" max="4" width="14.7109375" style="38" customWidth="1"/>
    <col min="5" max="5" width="10.5703125" style="38" customWidth="1"/>
    <col min="6" max="6" width="14" style="38" customWidth="1"/>
    <col min="7" max="7" width="11.28515625" style="38" customWidth="1"/>
    <col min="8" max="8" width="15" style="38" customWidth="1"/>
    <col min="9" max="9" width="13.85546875" style="38" customWidth="1"/>
    <col min="10" max="10" width="13.7109375" style="38" customWidth="1"/>
    <col min="11" max="11" width="13.140625" style="38" customWidth="1"/>
    <col min="12" max="12" width="15.5703125" style="38" customWidth="1"/>
    <col min="13" max="13" width="13.140625" style="38" customWidth="1"/>
    <col min="14" max="14" width="16.7109375" style="38" customWidth="1"/>
    <col min="15" max="15" width="13.85546875" style="38" bestFit="1" customWidth="1"/>
    <col min="16" max="18" width="13.85546875" style="38" customWidth="1"/>
    <col min="19" max="19" width="12.140625" style="38" customWidth="1"/>
    <col min="20" max="20" width="15.42578125" style="38" customWidth="1"/>
    <col min="21" max="21" width="10" style="38" customWidth="1"/>
    <col min="22" max="22" width="13.85546875" style="38" customWidth="1"/>
    <col min="23" max="23" width="11.42578125" style="38" bestFit="1" customWidth="1"/>
    <col min="24" max="24" width="15.5703125" style="38" customWidth="1"/>
    <col min="25" max="25" width="11.42578125" style="38" customWidth="1"/>
    <col min="26" max="26" width="15.7109375" style="38" customWidth="1"/>
    <col min="27" max="27" width="12" style="38" customWidth="1"/>
    <col min="28" max="28" width="14.5703125" style="38" customWidth="1"/>
    <col min="29" max="29" width="12" style="38" customWidth="1"/>
    <col min="30" max="30" width="17.42578125" style="38" customWidth="1"/>
    <col min="31" max="31" width="13.7109375" style="38" customWidth="1"/>
    <col min="32" max="32" width="14.42578125" style="38" customWidth="1"/>
    <col min="33" max="34" width="13.7109375" style="38" customWidth="1"/>
    <col min="35" max="35" width="11.42578125" style="38" customWidth="1"/>
    <col min="36" max="36" width="14.7109375" style="38" customWidth="1"/>
    <col min="37" max="37" width="10" style="38" customWidth="1"/>
    <col min="38" max="38" width="15" style="38" customWidth="1"/>
    <col min="39" max="40" width="9.140625" style="38"/>
    <col min="41" max="41" width="17.28515625" style="38" bestFit="1" customWidth="1"/>
    <col min="42" max="16384" width="9.140625" style="38"/>
  </cols>
  <sheetData>
    <row r="1" spans="1:41">
      <c r="AM1" s="447" t="s">
        <v>72</v>
      </c>
      <c r="AN1" s="447"/>
      <c r="AO1" s="447"/>
    </row>
    <row r="2" spans="1:41" s="1" customFormat="1">
      <c r="A2" s="447" t="s">
        <v>134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93" t="s">
        <v>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5"/>
    </row>
    <row r="4" spans="1:41" s="2" customFormat="1" ht="15" customHeight="1" thickBot="1">
      <c r="A4" s="447" t="s">
        <v>27</v>
      </c>
      <c r="B4" s="447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75" t="s">
        <v>2</v>
      </c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4"/>
      <c r="AM4" s="474" t="s">
        <v>3</v>
      </c>
      <c r="AN4" s="447"/>
      <c r="AO4" s="447"/>
    </row>
    <row r="5" spans="1:41" s="2" customFormat="1" ht="36.75" customHeight="1">
      <c r="A5" s="499" t="s">
        <v>21</v>
      </c>
      <c r="B5" s="501" t="s">
        <v>13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41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77" t="s">
        <v>5</v>
      </c>
      <c r="AN5" s="479" t="s">
        <v>6</v>
      </c>
      <c r="AO5" s="450" t="s">
        <v>7</v>
      </c>
    </row>
    <row r="6" spans="1:41" s="2" customFormat="1" ht="21" customHeight="1">
      <c r="A6" s="500"/>
      <c r="B6" s="502"/>
      <c r="C6" s="99" t="s">
        <v>101</v>
      </c>
      <c r="D6" s="80" t="s">
        <v>100</v>
      </c>
      <c r="E6" s="80" t="s">
        <v>102</v>
      </c>
      <c r="F6" s="85" t="s">
        <v>103</v>
      </c>
      <c r="G6" s="127" t="s">
        <v>101</v>
      </c>
      <c r="H6" s="71" t="s">
        <v>100</v>
      </c>
      <c r="I6" s="71" t="s">
        <v>102</v>
      </c>
      <c r="J6" s="72" t="s">
        <v>103</v>
      </c>
      <c r="K6" s="127" t="s">
        <v>101</v>
      </c>
      <c r="L6" s="71" t="s">
        <v>100</v>
      </c>
      <c r="M6" s="71" t="s">
        <v>102</v>
      </c>
      <c r="N6" s="72" t="s">
        <v>103</v>
      </c>
      <c r="O6" s="127" t="s">
        <v>101</v>
      </c>
      <c r="P6" s="71" t="s">
        <v>100</v>
      </c>
      <c r="Q6" s="71" t="s">
        <v>102</v>
      </c>
      <c r="R6" s="72" t="s">
        <v>103</v>
      </c>
      <c r="S6" s="99" t="s">
        <v>101</v>
      </c>
      <c r="T6" s="80" t="s">
        <v>100</v>
      </c>
      <c r="U6" s="80" t="s">
        <v>102</v>
      </c>
      <c r="V6" s="85" t="s">
        <v>103</v>
      </c>
      <c r="W6" s="127" t="s">
        <v>101</v>
      </c>
      <c r="X6" s="71" t="s">
        <v>100</v>
      </c>
      <c r="Y6" s="71" t="s">
        <v>102</v>
      </c>
      <c r="Z6" s="72" t="s">
        <v>103</v>
      </c>
      <c r="AA6" s="127" t="s">
        <v>101</v>
      </c>
      <c r="AB6" s="71" t="s">
        <v>100</v>
      </c>
      <c r="AC6" s="71" t="s">
        <v>102</v>
      </c>
      <c r="AD6" s="72" t="s">
        <v>103</v>
      </c>
      <c r="AE6" s="127" t="s">
        <v>101</v>
      </c>
      <c r="AF6" s="71" t="s">
        <v>100</v>
      </c>
      <c r="AG6" s="71" t="s">
        <v>102</v>
      </c>
      <c r="AH6" s="72" t="s">
        <v>103</v>
      </c>
      <c r="AI6" s="127" t="s">
        <v>101</v>
      </c>
      <c r="AJ6" s="71" t="s">
        <v>100</v>
      </c>
      <c r="AK6" s="71" t="s">
        <v>102</v>
      </c>
      <c r="AL6" s="72" t="s">
        <v>103</v>
      </c>
      <c r="AM6" s="478"/>
      <c r="AN6" s="480"/>
      <c r="AO6" s="481"/>
    </row>
    <row r="7" spans="1:41" s="1" customFormat="1">
      <c r="A7" s="17" t="s">
        <v>42</v>
      </c>
      <c r="B7" s="126" t="s">
        <v>57</v>
      </c>
      <c r="C7" s="100">
        <v>8456</v>
      </c>
      <c r="D7" s="10">
        <f>7358+1968</f>
        <v>9326</v>
      </c>
      <c r="E7" s="10">
        <f>7358+1968</f>
        <v>9326</v>
      </c>
      <c r="F7" s="101">
        <f>E7/D7</f>
        <v>1</v>
      </c>
      <c r="G7" s="100">
        <v>7930</v>
      </c>
      <c r="H7" s="10">
        <v>8036</v>
      </c>
      <c r="I7" s="10">
        <v>7920</v>
      </c>
      <c r="J7" s="101">
        <f>I7/H7</f>
        <v>0.98556495769039321</v>
      </c>
      <c r="K7" s="100">
        <v>500</v>
      </c>
      <c r="L7" s="5"/>
      <c r="M7" s="5"/>
      <c r="N7" s="106"/>
      <c r="O7" s="102"/>
      <c r="P7" s="5"/>
      <c r="Q7" s="5"/>
      <c r="R7" s="106"/>
      <c r="S7" s="100">
        <f>C7+G7+O7+K7</f>
        <v>16886</v>
      </c>
      <c r="T7" s="10">
        <f>D7+H7+P7</f>
        <v>17362</v>
      </c>
      <c r="U7" s="10">
        <f>E7+I7+Q7</f>
        <v>17246</v>
      </c>
      <c r="V7" s="101">
        <f>U7/T7</f>
        <v>0.99331874208040549</v>
      </c>
      <c r="W7" s="100">
        <v>1800</v>
      </c>
      <c r="X7" s="10">
        <v>2276</v>
      </c>
      <c r="Y7" s="10">
        <v>1872</v>
      </c>
      <c r="Z7" s="101">
        <f>Y7/X7</f>
        <v>0.82249560632688923</v>
      </c>
      <c r="AA7" s="100">
        <v>2469</v>
      </c>
      <c r="AB7" s="5"/>
      <c r="AC7" s="5"/>
      <c r="AD7" s="106"/>
      <c r="AE7" s="100">
        <v>12617</v>
      </c>
      <c r="AF7" s="5"/>
      <c r="AG7" s="5"/>
      <c r="AH7" s="106"/>
      <c r="AI7" s="108">
        <f>W7+AA7+AE7</f>
        <v>16886</v>
      </c>
      <c r="AJ7" s="4">
        <f t="shared" ref="AJ7:AK8" si="0">X7+AB7+AF7</f>
        <v>2276</v>
      </c>
      <c r="AK7" s="4">
        <f t="shared" si="0"/>
        <v>1872</v>
      </c>
      <c r="AL7" s="103">
        <f>AK7/AJ7</f>
        <v>0.82249560632688923</v>
      </c>
      <c r="AM7" s="24">
        <v>3</v>
      </c>
      <c r="AN7" s="10">
        <v>1</v>
      </c>
      <c r="AO7" s="5">
        <v>0</v>
      </c>
    </row>
    <row r="8" spans="1:41" s="1" customFormat="1" ht="15.75" thickBot="1">
      <c r="A8" s="54"/>
      <c r="B8" s="128" t="s">
        <v>112</v>
      </c>
      <c r="C8" s="110"/>
      <c r="D8" s="50"/>
      <c r="E8" s="50"/>
      <c r="F8" s="125"/>
      <c r="G8" s="110"/>
      <c r="H8" s="50"/>
      <c r="I8" s="50"/>
      <c r="J8" s="125"/>
      <c r="K8" s="110"/>
      <c r="L8" s="50"/>
      <c r="M8" s="50"/>
      <c r="N8" s="125"/>
      <c r="O8" s="110"/>
      <c r="P8" s="56">
        <v>469</v>
      </c>
      <c r="Q8" s="56">
        <v>70</v>
      </c>
      <c r="R8" s="113">
        <f>Q8/P8</f>
        <v>0.14925373134328357</v>
      </c>
      <c r="S8" s="110"/>
      <c r="T8" s="55">
        <f>D8+H8+P8</f>
        <v>469</v>
      </c>
      <c r="U8" s="55">
        <f>E8+I8+Q8</f>
        <v>70</v>
      </c>
      <c r="V8" s="114">
        <f t="shared" ref="V8:V9" si="1">U8/T8</f>
        <v>0.14925373134328357</v>
      </c>
      <c r="W8" s="110"/>
      <c r="X8" s="50"/>
      <c r="Y8" s="50"/>
      <c r="Z8" s="111"/>
      <c r="AA8" s="110"/>
      <c r="AB8" s="50"/>
      <c r="AC8" s="50"/>
      <c r="AD8" s="125"/>
      <c r="AE8" s="110"/>
      <c r="AF8" s="55">
        <f>469+15086</f>
        <v>15555</v>
      </c>
      <c r="AG8" s="55">
        <f>469+15463</f>
        <v>15932</v>
      </c>
      <c r="AH8" s="114">
        <f>AG8/AF8</f>
        <v>1.0242365798778528</v>
      </c>
      <c r="AI8" s="110">
        <f>W8+AA8+AE8</f>
        <v>0</v>
      </c>
      <c r="AJ8" s="49">
        <f t="shared" si="0"/>
        <v>15555</v>
      </c>
      <c r="AK8" s="49">
        <f t="shared" si="0"/>
        <v>15932</v>
      </c>
      <c r="AL8" s="112">
        <f t="shared" ref="AL8:AL9" si="2">AK8/AJ8</f>
        <v>1.0242365798778528</v>
      </c>
      <c r="AM8" s="28"/>
      <c r="AN8" s="50"/>
      <c r="AO8" s="50"/>
    </row>
    <row r="9" spans="1:41" s="29" customFormat="1" ht="15.75" thickBot="1">
      <c r="A9" s="472" t="s">
        <v>18</v>
      </c>
      <c r="B9" s="498"/>
      <c r="C9" s="84">
        <f>SUM(C7)</f>
        <v>8456</v>
      </c>
      <c r="D9" s="41">
        <f t="shared" ref="D9:E9" si="3">SUM(D7)</f>
        <v>9326</v>
      </c>
      <c r="E9" s="41">
        <f t="shared" si="3"/>
        <v>9326</v>
      </c>
      <c r="F9" s="116">
        <f>E9/D9</f>
        <v>1</v>
      </c>
      <c r="G9" s="84">
        <f t="shared" ref="G9:AO9" si="4">SUM(G7)</f>
        <v>7930</v>
      </c>
      <c r="H9" s="41">
        <f t="shared" si="4"/>
        <v>8036</v>
      </c>
      <c r="I9" s="41">
        <f t="shared" si="4"/>
        <v>7920</v>
      </c>
      <c r="J9" s="116">
        <f>I9/H9</f>
        <v>0.98556495769039321</v>
      </c>
      <c r="K9" s="84">
        <f t="shared" si="4"/>
        <v>500</v>
      </c>
      <c r="L9" s="42">
        <f t="shared" si="4"/>
        <v>0</v>
      </c>
      <c r="M9" s="42">
        <f t="shared" si="4"/>
        <v>0</v>
      </c>
      <c r="N9" s="53"/>
      <c r="O9" s="46">
        <f>SUM(O7:O8)</f>
        <v>0</v>
      </c>
      <c r="P9" s="41">
        <f t="shared" ref="P9:Q9" si="5">SUM(P7:P8)</f>
        <v>469</v>
      </c>
      <c r="Q9" s="41">
        <f t="shared" si="5"/>
        <v>70</v>
      </c>
      <c r="R9" s="116">
        <f>Q9/P9</f>
        <v>0.14925373134328357</v>
      </c>
      <c r="S9" s="84">
        <f>SUM(S7:S8)</f>
        <v>16886</v>
      </c>
      <c r="T9" s="41">
        <f t="shared" ref="T9:U9" si="6">SUM(T7:T8)</f>
        <v>17831</v>
      </c>
      <c r="U9" s="41">
        <f t="shared" si="6"/>
        <v>17316</v>
      </c>
      <c r="V9" s="118">
        <f t="shared" si="1"/>
        <v>0.97111771633671695</v>
      </c>
      <c r="W9" s="84">
        <f t="shared" si="4"/>
        <v>1800</v>
      </c>
      <c r="X9" s="41">
        <f t="shared" si="4"/>
        <v>2276</v>
      </c>
      <c r="Y9" s="41">
        <f t="shared" si="4"/>
        <v>1872</v>
      </c>
      <c r="Z9" s="118">
        <f t="shared" ref="Z9" si="7">Y9/X9</f>
        <v>0.82249560632688923</v>
      </c>
      <c r="AA9" s="84">
        <f t="shared" si="4"/>
        <v>2469</v>
      </c>
      <c r="AB9" s="42">
        <f t="shared" si="4"/>
        <v>0</v>
      </c>
      <c r="AC9" s="42">
        <f t="shared" si="4"/>
        <v>0</v>
      </c>
      <c r="AD9" s="53"/>
      <c r="AE9" s="84">
        <f>SUM(AE7:AE8)</f>
        <v>12617</v>
      </c>
      <c r="AF9" s="41">
        <f t="shared" ref="AF9:AG9" si="8">SUM(AF7:AF8)</f>
        <v>15555</v>
      </c>
      <c r="AG9" s="41">
        <f t="shared" si="8"/>
        <v>15932</v>
      </c>
      <c r="AH9" s="118">
        <f>AG9/AF9</f>
        <v>1.0242365798778528</v>
      </c>
      <c r="AI9" s="84">
        <f>SUM(AI7:AI8)</f>
        <v>16886</v>
      </c>
      <c r="AJ9" s="41">
        <f t="shared" ref="AJ9:AK9" si="9">SUM(AJ7:AJ8)</f>
        <v>17831</v>
      </c>
      <c r="AK9" s="41">
        <f t="shared" si="9"/>
        <v>17804</v>
      </c>
      <c r="AL9" s="119">
        <f t="shared" si="2"/>
        <v>0.99848578318658521</v>
      </c>
      <c r="AM9" s="44">
        <f t="shared" si="4"/>
        <v>3</v>
      </c>
      <c r="AN9" s="41">
        <f t="shared" si="4"/>
        <v>1</v>
      </c>
      <c r="AO9" s="43">
        <f t="shared" si="4"/>
        <v>0</v>
      </c>
    </row>
    <row r="12" spans="1:41">
      <c r="B12" s="13" t="str">
        <f>Tartalomjegyzék!A20</f>
        <v>Cibakháza, 2016. május 31.</v>
      </c>
    </row>
  </sheetData>
  <mergeCells count="22">
    <mergeCell ref="A9:B9"/>
    <mergeCell ref="A2:AO2"/>
    <mergeCell ref="AM1:AO1"/>
    <mergeCell ref="A4:B4"/>
    <mergeCell ref="AM4:AO4"/>
    <mergeCell ref="C4:V4"/>
    <mergeCell ref="W4:AL4"/>
    <mergeCell ref="C5:F5"/>
    <mergeCell ref="G5:J5"/>
    <mergeCell ref="K5:N5"/>
    <mergeCell ref="O5:R5"/>
    <mergeCell ref="S5:V5"/>
    <mergeCell ref="W5:Z5"/>
    <mergeCell ref="AO5:AO6"/>
    <mergeCell ref="A3:AL3"/>
    <mergeCell ref="B5:B6"/>
    <mergeCell ref="AN5:AN6"/>
    <mergeCell ref="A5:A6"/>
    <mergeCell ref="AA5:AD5"/>
    <mergeCell ref="AE5:AH5"/>
    <mergeCell ref="AI5:AL5"/>
    <mergeCell ref="AM5:AM6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O13"/>
  <sheetViews>
    <sheetView topLeftCell="AC1" workbookViewId="0">
      <selection activeCell="A2" sqref="A2:AO2"/>
    </sheetView>
  </sheetViews>
  <sheetFormatPr defaultRowHeight="15"/>
  <cols>
    <col min="1" max="1" width="3.7109375" customWidth="1"/>
    <col min="2" max="2" width="45" bestFit="1" customWidth="1"/>
    <col min="3" max="3" width="11.42578125" customWidth="1"/>
    <col min="4" max="4" width="14" customWidth="1"/>
    <col min="5" max="5" width="11.42578125" customWidth="1"/>
    <col min="6" max="6" width="14.7109375" customWidth="1"/>
    <col min="7" max="7" width="12" customWidth="1"/>
    <col min="8" max="8" width="14" customWidth="1"/>
    <col min="9" max="9" width="12" customWidth="1"/>
    <col min="10" max="10" width="13.7109375" customWidth="1"/>
    <col min="11" max="11" width="14.140625" bestFit="1" customWidth="1"/>
    <col min="12" max="12" width="14.140625" customWidth="1"/>
    <col min="13" max="13" width="13.85546875" bestFit="1" customWidth="1"/>
    <col min="14" max="14" width="14.5703125" customWidth="1"/>
    <col min="15" max="15" width="11.42578125" bestFit="1" customWidth="1"/>
    <col min="16" max="16" width="14.28515625" customWidth="1"/>
    <col min="17" max="17" width="10.7109375" customWidth="1"/>
    <col min="18" max="18" width="14.5703125" customWidth="1"/>
    <col min="19" max="19" width="12" customWidth="1"/>
    <col min="20" max="20" width="14" customWidth="1"/>
    <col min="21" max="21" width="12.42578125" customWidth="1"/>
    <col min="22" max="22" width="14.140625" customWidth="1"/>
    <col min="23" max="23" width="11.7109375" customWidth="1"/>
    <col min="24" max="24" width="15" customWidth="1"/>
    <col min="25" max="25" width="11.140625" customWidth="1"/>
    <col min="26" max="26" width="14.42578125" customWidth="1"/>
    <col min="27" max="30" width="13.85546875" customWidth="1"/>
    <col min="31" max="31" width="12" customWidth="1"/>
    <col min="32" max="32" width="15.42578125" customWidth="1"/>
    <col min="33" max="33" width="12.28515625" customWidth="1"/>
    <col min="34" max="34" width="13.7109375" customWidth="1"/>
    <col min="35" max="38" width="14.5703125" customWidth="1"/>
    <col min="41" max="41" width="17.28515625" bestFit="1" customWidth="1"/>
  </cols>
  <sheetData>
    <row r="1" spans="1:41">
      <c r="AM1" s="447" t="s">
        <v>73</v>
      </c>
      <c r="AN1" s="447"/>
      <c r="AO1" s="447"/>
    </row>
    <row r="2" spans="1:41" s="1" customFormat="1">
      <c r="A2" s="447" t="s">
        <v>133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503" t="s">
        <v>0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</row>
    <row r="4" spans="1:41" s="2" customFormat="1" ht="15" customHeight="1" thickBot="1">
      <c r="A4" s="447" t="s">
        <v>27</v>
      </c>
      <c r="B4" s="447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504" t="s">
        <v>2</v>
      </c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504"/>
      <c r="AM4" s="504" t="s">
        <v>3</v>
      </c>
      <c r="AN4" s="504"/>
      <c r="AO4" s="504"/>
    </row>
    <row r="5" spans="1:41" s="2" customFormat="1" ht="38.25" customHeight="1">
      <c r="A5" s="32" t="s">
        <v>21</v>
      </c>
      <c r="B5" s="81" t="s">
        <v>63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505" t="s">
        <v>19</v>
      </c>
      <c r="T5" s="436"/>
      <c r="U5" s="436"/>
      <c r="V5" s="437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433" t="s">
        <v>5</v>
      </c>
      <c r="AN5" s="442" t="s">
        <v>6</v>
      </c>
      <c r="AO5" s="444" t="s">
        <v>7</v>
      </c>
    </row>
    <row r="6" spans="1:41" s="2" customFormat="1" ht="22.5" customHeight="1">
      <c r="A6" s="70"/>
      <c r="B6" s="132"/>
      <c r="C6" s="99" t="s">
        <v>101</v>
      </c>
      <c r="D6" s="80" t="s">
        <v>100</v>
      </c>
      <c r="E6" s="80" t="s">
        <v>102</v>
      </c>
      <c r="F6" s="85" t="s">
        <v>103</v>
      </c>
      <c r="G6" s="99" t="s">
        <v>101</v>
      </c>
      <c r="H6" s="80" t="s">
        <v>100</v>
      </c>
      <c r="I6" s="80" t="s">
        <v>102</v>
      </c>
      <c r="J6" s="85" t="s">
        <v>103</v>
      </c>
      <c r="K6" s="99" t="s">
        <v>101</v>
      </c>
      <c r="L6" s="80" t="s">
        <v>100</v>
      </c>
      <c r="M6" s="80" t="s">
        <v>102</v>
      </c>
      <c r="N6" s="85" t="s">
        <v>103</v>
      </c>
      <c r="O6" s="99" t="s">
        <v>101</v>
      </c>
      <c r="P6" s="80" t="s">
        <v>100</v>
      </c>
      <c r="Q6" s="80" t="s">
        <v>102</v>
      </c>
      <c r="R6" s="85" t="s">
        <v>103</v>
      </c>
      <c r="S6" s="73" t="s">
        <v>101</v>
      </c>
      <c r="T6" s="71" t="s">
        <v>100</v>
      </c>
      <c r="U6" s="71" t="s">
        <v>102</v>
      </c>
      <c r="V6" s="83" t="s">
        <v>103</v>
      </c>
      <c r="W6" s="99" t="s">
        <v>101</v>
      </c>
      <c r="X6" s="80" t="s">
        <v>100</v>
      </c>
      <c r="Y6" s="129" t="s">
        <v>102</v>
      </c>
      <c r="Z6" s="85" t="s">
        <v>103</v>
      </c>
      <c r="AA6" s="99" t="s">
        <v>101</v>
      </c>
      <c r="AB6" s="80" t="s">
        <v>100</v>
      </c>
      <c r="AC6" s="80" t="s">
        <v>102</v>
      </c>
      <c r="AD6" s="85" t="s">
        <v>103</v>
      </c>
      <c r="AE6" s="99" t="s">
        <v>101</v>
      </c>
      <c r="AF6" s="80" t="s">
        <v>100</v>
      </c>
      <c r="AG6" s="80" t="s">
        <v>102</v>
      </c>
      <c r="AH6" s="85" t="s">
        <v>103</v>
      </c>
      <c r="AI6" s="99" t="s">
        <v>101</v>
      </c>
      <c r="AJ6" s="80" t="s">
        <v>100</v>
      </c>
      <c r="AK6" s="80" t="s">
        <v>102</v>
      </c>
      <c r="AL6" s="85" t="s">
        <v>103</v>
      </c>
      <c r="AM6" s="434"/>
      <c r="AN6" s="443"/>
      <c r="AO6" s="445"/>
    </row>
    <row r="7" spans="1:41" s="1" customFormat="1">
      <c r="A7" s="17" t="s">
        <v>43</v>
      </c>
      <c r="B7" s="133" t="s">
        <v>64</v>
      </c>
      <c r="C7" s="100">
        <v>20959</v>
      </c>
      <c r="D7" s="10">
        <f>16656+4111</f>
        <v>20767</v>
      </c>
      <c r="E7" s="10">
        <f>14788+3991</f>
        <v>18779</v>
      </c>
      <c r="F7" s="101">
        <f>E7/D7</f>
        <v>0.90427119949920542</v>
      </c>
      <c r="G7" s="100">
        <v>2145</v>
      </c>
      <c r="H7" s="10">
        <v>3567</v>
      </c>
      <c r="I7" s="10">
        <v>3122</v>
      </c>
      <c r="J7" s="101">
        <f>I7/H7</f>
        <v>0.87524530417717972</v>
      </c>
      <c r="K7" s="102">
        <v>0</v>
      </c>
      <c r="L7" s="18">
        <v>87</v>
      </c>
      <c r="M7" s="18">
        <v>87</v>
      </c>
      <c r="N7" s="93">
        <f>M7/L7</f>
        <v>1</v>
      </c>
      <c r="O7" s="102"/>
      <c r="P7" s="5"/>
      <c r="Q7" s="5"/>
      <c r="R7" s="106"/>
      <c r="S7" s="105">
        <f>C7+G7+K7+O7</f>
        <v>23104</v>
      </c>
      <c r="T7" s="18">
        <f t="shared" ref="T7:U9" si="0">D7+H7+L7+P7</f>
        <v>24421</v>
      </c>
      <c r="U7" s="18">
        <f t="shared" si="0"/>
        <v>21988</v>
      </c>
      <c r="V7" s="130">
        <f>U7/T7</f>
        <v>0.90037263011342694</v>
      </c>
      <c r="W7" s="102"/>
      <c r="X7" s="5"/>
      <c r="Y7" s="5"/>
      <c r="Z7" s="106"/>
      <c r="AA7" s="100">
        <v>13551</v>
      </c>
      <c r="AB7" s="5"/>
      <c r="AC7" s="5"/>
      <c r="AD7" s="106"/>
      <c r="AE7" s="100">
        <v>9553</v>
      </c>
      <c r="AF7" s="5"/>
      <c r="AG7" s="5"/>
      <c r="AH7" s="106"/>
      <c r="AI7" s="100">
        <f>W7+AA7+AE7</f>
        <v>23104</v>
      </c>
      <c r="AJ7" s="5">
        <f t="shared" ref="AJ7:AK9" si="1">X7+AB7+AF7</f>
        <v>0</v>
      </c>
      <c r="AK7" s="5">
        <f t="shared" si="1"/>
        <v>0</v>
      </c>
      <c r="AL7" s="106"/>
      <c r="AM7" s="100">
        <v>8</v>
      </c>
      <c r="AN7" s="10">
        <v>1</v>
      </c>
      <c r="AO7" s="106"/>
    </row>
    <row r="8" spans="1:41" s="1" customFormat="1">
      <c r="A8" s="17"/>
      <c r="B8" s="133" t="s">
        <v>112</v>
      </c>
      <c r="C8" s="102"/>
      <c r="D8" s="5"/>
      <c r="E8" s="5"/>
      <c r="F8" s="104"/>
      <c r="G8" s="102"/>
      <c r="H8" s="5"/>
      <c r="I8" s="5"/>
      <c r="J8" s="104"/>
      <c r="K8" s="102"/>
      <c r="L8" s="5"/>
      <c r="M8" s="5"/>
      <c r="N8" s="104"/>
      <c r="O8" s="102"/>
      <c r="P8" s="5"/>
      <c r="Q8" s="5"/>
      <c r="R8" s="106"/>
      <c r="S8" s="23">
        <f t="shared" ref="S8:S9" si="2">C8+G8+K8+O8</f>
        <v>0</v>
      </c>
      <c r="T8" s="5">
        <f t="shared" si="0"/>
        <v>0</v>
      </c>
      <c r="U8" s="5">
        <f t="shared" si="0"/>
        <v>0</v>
      </c>
      <c r="V8" s="131"/>
      <c r="W8" s="102"/>
      <c r="X8" s="5"/>
      <c r="Y8" s="5"/>
      <c r="Z8" s="106"/>
      <c r="AA8" s="102"/>
      <c r="AB8" s="5"/>
      <c r="AC8" s="5"/>
      <c r="AD8" s="106"/>
      <c r="AE8" s="102"/>
      <c r="AF8" s="5"/>
      <c r="AG8" s="5"/>
      <c r="AH8" s="106"/>
      <c r="AI8" s="102">
        <f t="shared" ref="AI8:AI9" si="3">W8+AA8+AE8</f>
        <v>0</v>
      </c>
      <c r="AJ8" s="5">
        <f t="shared" si="1"/>
        <v>0</v>
      </c>
      <c r="AK8" s="5">
        <f t="shared" si="1"/>
        <v>0</v>
      </c>
      <c r="AL8" s="106"/>
      <c r="AM8" s="102"/>
      <c r="AN8" s="5"/>
      <c r="AO8" s="106"/>
    </row>
    <row r="9" spans="1:41" s="1" customFormat="1" ht="15.75" thickBot="1">
      <c r="A9" s="54"/>
      <c r="B9" s="134" t="s">
        <v>113</v>
      </c>
      <c r="C9" s="110"/>
      <c r="D9" s="56">
        <v>192</v>
      </c>
      <c r="E9" s="50"/>
      <c r="F9" s="111"/>
      <c r="G9" s="110"/>
      <c r="H9" s="50"/>
      <c r="I9" s="50"/>
      <c r="J9" s="111"/>
      <c r="K9" s="110"/>
      <c r="L9" s="50"/>
      <c r="M9" s="50"/>
      <c r="N9" s="111"/>
      <c r="O9" s="110"/>
      <c r="P9" s="50"/>
      <c r="Q9" s="50"/>
      <c r="R9" s="125"/>
      <c r="S9" s="28">
        <f t="shared" si="2"/>
        <v>0</v>
      </c>
      <c r="T9" s="56">
        <f t="shared" si="0"/>
        <v>192</v>
      </c>
      <c r="U9" s="50">
        <f t="shared" si="0"/>
        <v>0</v>
      </c>
      <c r="V9" s="135"/>
      <c r="W9" s="110"/>
      <c r="X9" s="56">
        <v>1374</v>
      </c>
      <c r="Y9" s="49">
        <v>652</v>
      </c>
      <c r="Z9" s="113">
        <f>Y9/X9</f>
        <v>0.47452692867540031</v>
      </c>
      <c r="AA9" s="110"/>
      <c r="AB9" s="50"/>
      <c r="AC9" s="50"/>
      <c r="AD9" s="111"/>
      <c r="AE9" s="110"/>
      <c r="AF9" s="55">
        <v>23239</v>
      </c>
      <c r="AG9" s="55">
        <v>22830</v>
      </c>
      <c r="AH9" s="114">
        <f>AG9/AF9</f>
        <v>0.98240027539911357</v>
      </c>
      <c r="AI9" s="110">
        <f t="shared" si="3"/>
        <v>0</v>
      </c>
      <c r="AJ9" s="55">
        <f t="shared" si="1"/>
        <v>24613</v>
      </c>
      <c r="AK9" s="55">
        <f t="shared" si="1"/>
        <v>23482</v>
      </c>
      <c r="AL9" s="114">
        <f>AK9/AJ9</f>
        <v>0.95404867346524191</v>
      </c>
      <c r="AM9" s="110"/>
      <c r="AN9" s="50"/>
      <c r="AO9" s="125"/>
    </row>
    <row r="10" spans="1:41" s="29" customFormat="1" ht="15.75" thickBot="1">
      <c r="A10" s="472" t="s">
        <v>18</v>
      </c>
      <c r="B10" s="498"/>
      <c r="C10" s="84">
        <f>SUM(C7:C9)</f>
        <v>20959</v>
      </c>
      <c r="D10" s="41">
        <f t="shared" ref="D10:E10" si="4">SUM(D7:D9)</f>
        <v>20959</v>
      </c>
      <c r="E10" s="41">
        <f t="shared" si="4"/>
        <v>18779</v>
      </c>
      <c r="F10" s="118">
        <f t="shared" ref="F10" si="5">E10/D10</f>
        <v>0.89598740397919752</v>
      </c>
      <c r="G10" s="84">
        <f>SUM(G7:G9)</f>
        <v>2145</v>
      </c>
      <c r="H10" s="41">
        <f t="shared" ref="H10:I10" si="6">SUM(H7:H9)</f>
        <v>3567</v>
      </c>
      <c r="I10" s="41">
        <f t="shared" si="6"/>
        <v>3122</v>
      </c>
      <c r="J10" s="116">
        <f>I10/H10</f>
        <v>0.87524530417717972</v>
      </c>
      <c r="K10" s="46">
        <f>SUM(K7:K9)</f>
        <v>0</v>
      </c>
      <c r="L10" s="41">
        <f t="shared" ref="L10:M10" si="7">SUM(L7:L9)</f>
        <v>87</v>
      </c>
      <c r="M10" s="41">
        <f t="shared" si="7"/>
        <v>87</v>
      </c>
      <c r="N10" s="116">
        <f>M10/L10</f>
        <v>1</v>
      </c>
      <c r="O10" s="46">
        <f>SUM(O7:O9)</f>
        <v>0</v>
      </c>
      <c r="P10" s="42">
        <f t="shared" ref="P10:Q10" si="8">SUM(P7:P9)</f>
        <v>0</v>
      </c>
      <c r="Q10" s="42">
        <f t="shared" si="8"/>
        <v>0</v>
      </c>
      <c r="R10" s="53"/>
      <c r="S10" s="44">
        <f>SUM(S7:S9)</f>
        <v>23104</v>
      </c>
      <c r="T10" s="44">
        <f>SUM(T7:T9)</f>
        <v>24613</v>
      </c>
      <c r="U10" s="41">
        <f t="shared" ref="U10" si="9">SUM(U7)</f>
        <v>21988</v>
      </c>
      <c r="V10" s="136">
        <f t="shared" ref="V10" si="10">U10/T10</f>
        <v>0.8933490431885589</v>
      </c>
      <c r="W10" s="46">
        <f>SUM(W7:W9)</f>
        <v>0</v>
      </c>
      <c r="X10" s="138">
        <f t="shared" ref="X10:Y10" si="11">SUM(X7:X9)</f>
        <v>1374</v>
      </c>
      <c r="Y10" s="82">
        <f t="shared" si="11"/>
        <v>652</v>
      </c>
      <c r="Z10" s="139">
        <f>Y10/X10</f>
        <v>0.47452692867540031</v>
      </c>
      <c r="AA10" s="44">
        <f>SUM(AA7:AA9)</f>
        <v>13551</v>
      </c>
      <c r="AB10" s="42">
        <f t="shared" ref="AB10:AC10" si="12">SUM(AB7:AB9)</f>
        <v>0</v>
      </c>
      <c r="AC10" s="42">
        <f t="shared" si="12"/>
        <v>0</v>
      </c>
      <c r="AD10" s="137"/>
      <c r="AE10" s="84">
        <f>SUM(AE7:AE9)</f>
        <v>9553</v>
      </c>
      <c r="AF10" s="41">
        <f t="shared" ref="AF10:AG10" si="13">SUM(AF7:AF9)</f>
        <v>23239</v>
      </c>
      <c r="AG10" s="41">
        <f t="shared" si="13"/>
        <v>22830</v>
      </c>
      <c r="AH10" s="118">
        <f>AG10/AF10</f>
        <v>0.98240027539911357</v>
      </c>
      <c r="AI10" s="84">
        <f>SUM(AI7:AI9)</f>
        <v>23104</v>
      </c>
      <c r="AJ10" s="41">
        <f t="shared" ref="AJ10:AK10" si="14">SUM(AJ7:AJ9)</f>
        <v>24613</v>
      </c>
      <c r="AK10" s="41">
        <f t="shared" si="14"/>
        <v>23482</v>
      </c>
      <c r="AL10" s="118">
        <f>AK10/AJ10</f>
        <v>0.95404867346524191</v>
      </c>
      <c r="AM10" s="84">
        <f t="shared" ref="AM10:AN10" si="15">SUM(AM7)</f>
        <v>8</v>
      </c>
      <c r="AN10" s="41">
        <f t="shared" si="15"/>
        <v>1</v>
      </c>
      <c r="AO10" s="53"/>
    </row>
    <row r="13" spans="1:41">
      <c r="B13" s="13" t="str">
        <f>Tartalomjegyzék!A20</f>
        <v>Cibakháza, 2016. május 31.</v>
      </c>
    </row>
  </sheetData>
  <mergeCells count="20">
    <mergeCell ref="AO5:AO6"/>
    <mergeCell ref="AM1:AO1"/>
    <mergeCell ref="A10:B10"/>
    <mergeCell ref="A4:B4"/>
    <mergeCell ref="C4:V4"/>
    <mergeCell ref="A2:AO2"/>
    <mergeCell ref="A3:AO3"/>
    <mergeCell ref="W4:AL4"/>
    <mergeCell ref="AM4:AO4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M6"/>
    <mergeCell ref="AN5:A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O15"/>
  <sheetViews>
    <sheetView topLeftCell="AB1" workbookViewId="0">
      <selection activeCell="AM1" sqref="AM1:AO1"/>
    </sheetView>
  </sheetViews>
  <sheetFormatPr defaultRowHeight="15"/>
  <cols>
    <col min="1" max="1" width="4" style="38" customWidth="1"/>
    <col min="2" max="2" width="45.28515625" style="38" bestFit="1" customWidth="1"/>
    <col min="3" max="3" width="13.140625" style="38" customWidth="1"/>
    <col min="4" max="4" width="16" style="38" customWidth="1"/>
    <col min="5" max="5" width="13.140625" style="38" customWidth="1"/>
    <col min="6" max="6" width="17" style="38" customWidth="1"/>
    <col min="7" max="7" width="11.140625" style="38" customWidth="1"/>
    <col min="8" max="8" width="14.5703125" style="38" customWidth="1"/>
    <col min="9" max="9" width="11.140625" style="38" customWidth="1"/>
    <col min="10" max="10" width="13.85546875" style="38" customWidth="1"/>
    <col min="11" max="11" width="14.28515625" style="38" bestFit="1" customWidth="1"/>
    <col min="12" max="14" width="14.28515625" style="38" customWidth="1"/>
    <col min="15" max="15" width="13.85546875" style="38" bestFit="1" customWidth="1"/>
    <col min="16" max="18" width="13.85546875" style="38" customWidth="1"/>
    <col min="19" max="19" width="11.5703125" style="38" bestFit="1" customWidth="1"/>
    <col min="20" max="20" width="13.85546875" style="38" customWidth="1"/>
    <col min="21" max="21" width="11.5703125" style="38" customWidth="1"/>
    <col min="22" max="22" width="14.85546875" style="38" customWidth="1"/>
    <col min="23" max="23" width="11.42578125" style="38" bestFit="1" customWidth="1"/>
    <col min="24" max="24" width="14.28515625" style="38" customWidth="1"/>
    <col min="25" max="25" width="11.42578125" style="38" customWidth="1"/>
    <col min="26" max="26" width="14.42578125" style="38" customWidth="1"/>
    <col min="27" max="27" width="11" style="38" customWidth="1"/>
    <col min="28" max="28" width="14.28515625" style="38" customWidth="1"/>
    <col min="29" max="29" width="11.28515625" style="38" customWidth="1"/>
    <col min="30" max="30" width="13.42578125" style="38" customWidth="1"/>
    <col min="31" max="31" width="12" style="38" customWidth="1"/>
    <col min="32" max="32" width="15" style="38" customWidth="1"/>
    <col min="33" max="33" width="12" style="38" customWidth="1"/>
    <col min="34" max="34" width="16" style="38" customWidth="1"/>
    <col min="35" max="35" width="11.85546875" style="38" customWidth="1"/>
    <col min="36" max="36" width="13.85546875" style="38" customWidth="1"/>
    <col min="37" max="37" width="11" style="38" customWidth="1"/>
    <col min="38" max="38" width="15.140625" style="38" customWidth="1"/>
    <col min="39" max="39" width="11.28515625" style="38" customWidth="1"/>
    <col min="40" max="40" width="11.5703125" style="38" customWidth="1"/>
    <col min="41" max="41" width="17.28515625" style="38" bestFit="1" customWidth="1"/>
    <col min="42" max="16384" width="9.140625" style="38"/>
  </cols>
  <sheetData>
    <row r="1" spans="1:41">
      <c r="AM1" s="447" t="s">
        <v>74</v>
      </c>
      <c r="AN1" s="447"/>
      <c r="AO1" s="447"/>
    </row>
    <row r="2" spans="1:41" s="1" customFormat="1">
      <c r="A2" s="447" t="s">
        <v>132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  <c r="AD2" s="447"/>
      <c r="AE2" s="447"/>
      <c r="AF2" s="447"/>
      <c r="AG2" s="447"/>
      <c r="AH2" s="447"/>
      <c r="AI2" s="447"/>
      <c r="AJ2" s="447"/>
      <c r="AK2" s="447"/>
      <c r="AL2" s="447"/>
      <c r="AM2" s="447"/>
      <c r="AN2" s="447"/>
      <c r="AO2" s="447"/>
    </row>
    <row r="3" spans="1:41" s="1" customFormat="1">
      <c r="A3" s="493" t="s">
        <v>0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  <c r="AI3" s="494"/>
      <c r="AJ3" s="494"/>
      <c r="AK3" s="494"/>
      <c r="AL3" s="495"/>
    </row>
    <row r="4" spans="1:41" s="2" customFormat="1" ht="15" customHeight="1" thickBot="1">
      <c r="A4" s="447" t="s">
        <v>27</v>
      </c>
      <c r="B4" s="447"/>
      <c r="C4" s="451" t="s">
        <v>1</v>
      </c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47" t="s">
        <v>2</v>
      </c>
      <c r="X4" s="447"/>
      <c r="Y4" s="447"/>
      <c r="Z4" s="447"/>
      <c r="AA4" s="447"/>
      <c r="AB4" s="447"/>
      <c r="AC4" s="447"/>
      <c r="AD4" s="447"/>
      <c r="AE4" s="447"/>
      <c r="AF4" s="447"/>
      <c r="AG4" s="447"/>
      <c r="AH4" s="447"/>
      <c r="AI4" s="447"/>
      <c r="AJ4" s="447"/>
      <c r="AK4" s="447"/>
      <c r="AL4" s="447"/>
      <c r="AM4" s="447" t="s">
        <v>3</v>
      </c>
      <c r="AN4" s="447"/>
      <c r="AO4" s="447"/>
    </row>
    <row r="5" spans="1:41" s="2" customFormat="1" ht="30" customHeight="1">
      <c r="A5" s="499" t="s">
        <v>21</v>
      </c>
      <c r="B5" s="501" t="s">
        <v>61</v>
      </c>
      <c r="C5" s="435" t="s">
        <v>108</v>
      </c>
      <c r="D5" s="436"/>
      <c r="E5" s="436"/>
      <c r="F5" s="441"/>
      <c r="G5" s="457" t="s">
        <v>109</v>
      </c>
      <c r="H5" s="458"/>
      <c r="I5" s="458"/>
      <c r="J5" s="459"/>
      <c r="K5" s="457" t="s">
        <v>105</v>
      </c>
      <c r="L5" s="458"/>
      <c r="M5" s="458"/>
      <c r="N5" s="459"/>
      <c r="O5" s="435" t="s">
        <v>106</v>
      </c>
      <c r="P5" s="436"/>
      <c r="Q5" s="436"/>
      <c r="R5" s="441"/>
      <c r="S5" s="435" t="s">
        <v>19</v>
      </c>
      <c r="T5" s="436"/>
      <c r="U5" s="436"/>
      <c r="V5" s="441"/>
      <c r="W5" s="435" t="s">
        <v>110</v>
      </c>
      <c r="X5" s="436"/>
      <c r="Y5" s="436"/>
      <c r="Z5" s="441"/>
      <c r="AA5" s="435" t="s">
        <v>4</v>
      </c>
      <c r="AB5" s="436"/>
      <c r="AC5" s="436"/>
      <c r="AD5" s="441"/>
      <c r="AE5" s="435" t="s">
        <v>111</v>
      </c>
      <c r="AF5" s="436"/>
      <c r="AG5" s="436"/>
      <c r="AH5" s="441"/>
      <c r="AI5" s="435" t="s">
        <v>20</v>
      </c>
      <c r="AJ5" s="436"/>
      <c r="AK5" s="436"/>
      <c r="AL5" s="441"/>
      <c r="AM5" s="30" t="s">
        <v>5</v>
      </c>
      <c r="AN5" s="3" t="s">
        <v>6</v>
      </c>
      <c r="AO5" s="69" t="s">
        <v>7</v>
      </c>
    </row>
    <row r="6" spans="1:41" s="2" customFormat="1" ht="19.5" customHeight="1">
      <c r="A6" s="500"/>
      <c r="B6" s="502"/>
      <c r="C6" s="151" t="s">
        <v>101</v>
      </c>
      <c r="D6" s="152" t="s">
        <v>100</v>
      </c>
      <c r="E6" s="152" t="s">
        <v>102</v>
      </c>
      <c r="F6" s="85" t="s">
        <v>103</v>
      </c>
      <c r="G6" s="151" t="s">
        <v>101</v>
      </c>
      <c r="H6" s="152" t="s">
        <v>100</v>
      </c>
      <c r="I6" s="152" t="s">
        <v>102</v>
      </c>
      <c r="J6" s="85" t="s">
        <v>103</v>
      </c>
      <c r="K6" s="151" t="s">
        <v>101</v>
      </c>
      <c r="L6" s="152" t="s">
        <v>100</v>
      </c>
      <c r="M6" s="152" t="s">
        <v>102</v>
      </c>
      <c r="N6" s="85" t="s">
        <v>103</v>
      </c>
      <c r="O6" s="151" t="s">
        <v>101</v>
      </c>
      <c r="P6" s="152" t="s">
        <v>100</v>
      </c>
      <c r="Q6" s="152" t="s">
        <v>102</v>
      </c>
      <c r="R6" s="85" t="s">
        <v>103</v>
      </c>
      <c r="S6" s="151" t="s">
        <v>101</v>
      </c>
      <c r="T6" s="152" t="s">
        <v>100</v>
      </c>
      <c r="U6" s="152" t="s">
        <v>102</v>
      </c>
      <c r="V6" s="85" t="s">
        <v>103</v>
      </c>
      <c r="W6" s="151" t="s">
        <v>101</v>
      </c>
      <c r="X6" s="152" t="s">
        <v>100</v>
      </c>
      <c r="Y6" s="152" t="s">
        <v>102</v>
      </c>
      <c r="Z6" s="85" t="s">
        <v>103</v>
      </c>
      <c r="AA6" s="151" t="s">
        <v>101</v>
      </c>
      <c r="AB6" s="152" t="s">
        <v>100</v>
      </c>
      <c r="AC6" s="152" t="s">
        <v>102</v>
      </c>
      <c r="AD6" s="85" t="s">
        <v>103</v>
      </c>
      <c r="AE6" s="151" t="s">
        <v>101</v>
      </c>
      <c r="AF6" s="152" t="s">
        <v>100</v>
      </c>
      <c r="AG6" s="152" t="s">
        <v>102</v>
      </c>
      <c r="AH6" s="85" t="s">
        <v>103</v>
      </c>
      <c r="AI6" s="151" t="s">
        <v>101</v>
      </c>
      <c r="AJ6" s="152" t="s">
        <v>100</v>
      </c>
      <c r="AK6" s="152" t="s">
        <v>102</v>
      </c>
      <c r="AL6" s="85" t="s">
        <v>103</v>
      </c>
      <c r="AM6" s="30"/>
      <c r="AN6" s="3"/>
      <c r="AO6" s="69"/>
    </row>
    <row r="7" spans="1:41" s="2" customFormat="1" ht="19.5" customHeight="1">
      <c r="A7" s="33" t="s">
        <v>42</v>
      </c>
      <c r="B7" s="195" t="s">
        <v>58</v>
      </c>
      <c r="C7" s="172">
        <v>4496</v>
      </c>
      <c r="D7" s="39">
        <v>4516</v>
      </c>
      <c r="E7" s="39">
        <v>4509</v>
      </c>
      <c r="F7" s="178">
        <f>E7/D7</f>
        <v>0.99844995571302042</v>
      </c>
      <c r="G7" s="172">
        <v>1613</v>
      </c>
      <c r="H7" s="39">
        <v>1613</v>
      </c>
      <c r="I7" s="39">
        <v>1661</v>
      </c>
      <c r="J7" s="178">
        <f>I7/H7</f>
        <v>1.0297582145071296</v>
      </c>
      <c r="K7" s="174"/>
      <c r="L7" s="40"/>
      <c r="M7" s="40"/>
      <c r="N7" s="175"/>
      <c r="O7" s="174"/>
      <c r="P7" s="40"/>
      <c r="Q7" s="40"/>
      <c r="R7" s="175"/>
      <c r="S7" s="172">
        <f>C7+G7+K7+O7</f>
        <v>6109</v>
      </c>
      <c r="T7" s="39">
        <f t="shared" ref="T7:U9" si="0">D7+H7+L7+P7</f>
        <v>6129</v>
      </c>
      <c r="U7" s="39">
        <f t="shared" si="0"/>
        <v>6170</v>
      </c>
      <c r="V7" s="178">
        <f>U7/T7</f>
        <v>1.0066895088921521</v>
      </c>
      <c r="W7" s="199"/>
      <c r="X7" s="37"/>
      <c r="Y7" s="37"/>
      <c r="Z7" s="200"/>
      <c r="AA7" s="172">
        <v>5239</v>
      </c>
      <c r="AB7" s="40"/>
      <c r="AC7" s="40"/>
      <c r="AD7" s="175"/>
      <c r="AE7" s="172">
        <v>870</v>
      </c>
      <c r="AF7" s="40"/>
      <c r="AG7" s="40"/>
      <c r="AH7" s="175"/>
      <c r="AI7" s="172">
        <f>W7+AA7+AE7</f>
        <v>6109</v>
      </c>
      <c r="AJ7" s="40">
        <f t="shared" ref="AJ7:AK9" si="1">X7+AB7+AF7</f>
        <v>0</v>
      </c>
      <c r="AK7" s="40">
        <f t="shared" si="1"/>
        <v>0</v>
      </c>
      <c r="AL7" s="175"/>
      <c r="AM7" s="45">
        <v>2</v>
      </c>
      <c r="AN7" s="34"/>
      <c r="AO7" s="35"/>
    </row>
    <row r="8" spans="1:41" s="12" customFormat="1" ht="18" customHeight="1">
      <c r="A8" s="17" t="s">
        <v>42</v>
      </c>
      <c r="B8" s="98" t="s">
        <v>59</v>
      </c>
      <c r="C8" s="172">
        <v>2216</v>
      </c>
      <c r="D8" s="39">
        <f>1755+471</f>
        <v>2226</v>
      </c>
      <c r="E8" s="39">
        <f>2530+680</f>
        <v>3210</v>
      </c>
      <c r="F8" s="178">
        <f t="shared" ref="F8:F12" si="2">E8/D8</f>
        <v>1.4420485175202156</v>
      </c>
      <c r="G8" s="172">
        <v>489</v>
      </c>
      <c r="H8" s="39">
        <v>464</v>
      </c>
      <c r="I8" s="39">
        <v>113</v>
      </c>
      <c r="J8" s="178">
        <f t="shared" ref="J8:J12" si="3">I8/H8</f>
        <v>0.24353448275862069</v>
      </c>
      <c r="K8" s="172">
        <v>250</v>
      </c>
      <c r="L8" s="39">
        <v>250</v>
      </c>
      <c r="M8" s="40"/>
      <c r="N8" s="175"/>
      <c r="O8" s="174"/>
      <c r="P8" s="40"/>
      <c r="Q8" s="40"/>
      <c r="R8" s="175"/>
      <c r="S8" s="172">
        <f t="shared" ref="S8:S9" si="4">C8+G8+K8+O8</f>
        <v>2955</v>
      </c>
      <c r="T8" s="39">
        <f t="shared" si="0"/>
        <v>2940</v>
      </c>
      <c r="U8" s="39">
        <f t="shared" si="0"/>
        <v>3323</v>
      </c>
      <c r="V8" s="178">
        <f t="shared" ref="V8:V12" si="5">U8/T8</f>
        <v>1.1302721088435375</v>
      </c>
      <c r="W8" s="199"/>
      <c r="X8" s="37"/>
      <c r="Y8" s="37"/>
      <c r="Z8" s="200"/>
      <c r="AA8" s="172">
        <v>2929</v>
      </c>
      <c r="AB8" s="40"/>
      <c r="AC8" s="40"/>
      <c r="AD8" s="175"/>
      <c r="AE8" s="172">
        <v>26</v>
      </c>
      <c r="AF8" s="40"/>
      <c r="AG8" s="40"/>
      <c r="AH8" s="175"/>
      <c r="AI8" s="172">
        <f t="shared" ref="AI8:AI9" si="6">W8+AA8+AE8</f>
        <v>2955</v>
      </c>
      <c r="AJ8" s="40">
        <f t="shared" si="1"/>
        <v>0</v>
      </c>
      <c r="AK8" s="40">
        <f t="shared" si="1"/>
        <v>0</v>
      </c>
      <c r="AL8" s="175"/>
      <c r="AM8" s="45">
        <v>1</v>
      </c>
      <c r="AN8" s="11"/>
      <c r="AO8" s="11"/>
    </row>
    <row r="9" spans="1:41" ht="18" customHeight="1">
      <c r="A9" s="36" t="s">
        <v>42</v>
      </c>
      <c r="B9" s="167" t="s">
        <v>60</v>
      </c>
      <c r="C9" s="172">
        <v>8200</v>
      </c>
      <c r="D9" s="39">
        <f>8630+2103</f>
        <v>10733</v>
      </c>
      <c r="E9" s="39">
        <v>8416</v>
      </c>
      <c r="F9" s="178">
        <f t="shared" si="2"/>
        <v>0.78412373055063822</v>
      </c>
      <c r="G9" s="172">
        <v>842</v>
      </c>
      <c r="H9" s="39">
        <v>1676</v>
      </c>
      <c r="I9" s="39">
        <v>662</v>
      </c>
      <c r="J9" s="178">
        <f t="shared" si="3"/>
        <v>0.39498806682577564</v>
      </c>
      <c r="K9" s="172">
        <v>550</v>
      </c>
      <c r="L9" s="39">
        <v>311</v>
      </c>
      <c r="M9" s="40"/>
      <c r="N9" s="175"/>
      <c r="O9" s="174"/>
      <c r="P9" s="62">
        <v>500</v>
      </c>
      <c r="Q9" s="40"/>
      <c r="R9" s="175"/>
      <c r="S9" s="172">
        <f t="shared" si="4"/>
        <v>9592</v>
      </c>
      <c r="T9" s="39">
        <f t="shared" si="0"/>
        <v>13220</v>
      </c>
      <c r="U9" s="39">
        <f t="shared" si="0"/>
        <v>9078</v>
      </c>
      <c r="V9" s="178">
        <f t="shared" si="5"/>
        <v>0.68668683812405451</v>
      </c>
      <c r="W9" s="199"/>
      <c r="X9" s="37"/>
      <c r="Y9" s="198">
        <v>2</v>
      </c>
      <c r="Z9" s="200"/>
      <c r="AA9" s="172">
        <v>3369</v>
      </c>
      <c r="AB9" s="40"/>
      <c r="AC9" s="40"/>
      <c r="AD9" s="175"/>
      <c r="AE9" s="172">
        <v>6223</v>
      </c>
      <c r="AF9" s="40"/>
      <c r="AG9" s="40"/>
      <c r="AH9" s="175"/>
      <c r="AI9" s="172">
        <f t="shared" si="6"/>
        <v>9592</v>
      </c>
      <c r="AJ9" s="40">
        <f t="shared" si="1"/>
        <v>0</v>
      </c>
      <c r="AK9" s="39">
        <f t="shared" si="1"/>
        <v>2</v>
      </c>
      <c r="AL9" s="175"/>
      <c r="AM9" s="202">
        <v>3</v>
      </c>
      <c r="AN9" s="37"/>
      <c r="AO9" s="37"/>
    </row>
    <row r="10" spans="1:41" ht="18" customHeight="1">
      <c r="A10" s="31" t="s">
        <v>42</v>
      </c>
      <c r="B10" s="168" t="s">
        <v>139</v>
      </c>
      <c r="C10" s="174"/>
      <c r="D10" s="40"/>
      <c r="E10" s="40"/>
      <c r="F10" s="179"/>
      <c r="G10" s="174"/>
      <c r="H10" s="40"/>
      <c r="I10" s="40"/>
      <c r="J10" s="179"/>
      <c r="K10" s="174"/>
      <c r="L10" s="40"/>
      <c r="M10" s="40"/>
      <c r="N10" s="175"/>
      <c r="O10" s="174"/>
      <c r="P10" s="40"/>
      <c r="Q10" s="62">
        <v>22</v>
      </c>
      <c r="R10" s="175"/>
      <c r="S10" s="174">
        <f t="shared" ref="S10:S11" si="7">C10+G10+K10+O10</f>
        <v>0</v>
      </c>
      <c r="T10" s="40">
        <f t="shared" ref="T10:T11" si="8">D10+H10+L10+P10</f>
        <v>0</v>
      </c>
      <c r="U10" s="39">
        <f t="shared" ref="U10:U11" si="9">E10+I10+M10+Q10</f>
        <v>22</v>
      </c>
      <c r="V10" s="179"/>
      <c r="W10" s="199"/>
      <c r="X10" s="37"/>
      <c r="Y10" s="37"/>
      <c r="Z10" s="200"/>
      <c r="AA10" s="174"/>
      <c r="AB10" s="40"/>
      <c r="AC10" s="40"/>
      <c r="AD10" s="175"/>
      <c r="AE10" s="174"/>
      <c r="AF10" s="39">
        <f>18656+3633</f>
        <v>22289</v>
      </c>
      <c r="AG10" s="39">
        <f>18086+3633</f>
        <v>21719</v>
      </c>
      <c r="AH10" s="178">
        <f>AG10/AF10</f>
        <v>0.97442684732379203</v>
      </c>
      <c r="AI10" s="174">
        <f t="shared" ref="AI10" si="10">W10+AA10+AE10</f>
        <v>0</v>
      </c>
      <c r="AJ10" s="39">
        <f t="shared" ref="AJ10" si="11">X10+AB10+AF10</f>
        <v>22289</v>
      </c>
      <c r="AK10" s="39">
        <f t="shared" ref="AK10" si="12">Y10+AC10+AG10</f>
        <v>21719</v>
      </c>
      <c r="AL10" s="178">
        <f>AK10/AJ10</f>
        <v>0.97442684732379203</v>
      </c>
      <c r="AM10" s="202"/>
      <c r="AN10" s="37"/>
      <c r="AO10" s="37"/>
    </row>
    <row r="11" spans="1:41" ht="18" customHeight="1">
      <c r="A11" s="31" t="s">
        <v>42</v>
      </c>
      <c r="B11" s="168" t="s">
        <v>116</v>
      </c>
      <c r="C11" s="174"/>
      <c r="D11" s="40"/>
      <c r="E11" s="39">
        <f>1164+159</f>
        <v>1323</v>
      </c>
      <c r="F11" s="179"/>
      <c r="G11" s="174"/>
      <c r="H11" s="40"/>
      <c r="I11" s="40"/>
      <c r="J11" s="179"/>
      <c r="K11" s="174"/>
      <c r="L11" s="40"/>
      <c r="M11" s="40"/>
      <c r="N11" s="175"/>
      <c r="O11" s="174"/>
      <c r="P11" s="40"/>
      <c r="Q11" s="40"/>
      <c r="R11" s="175"/>
      <c r="S11" s="174">
        <f t="shared" si="7"/>
        <v>0</v>
      </c>
      <c r="T11" s="40">
        <f t="shared" si="8"/>
        <v>0</v>
      </c>
      <c r="U11" s="39">
        <f t="shared" si="9"/>
        <v>1323</v>
      </c>
      <c r="V11" s="179"/>
      <c r="W11" s="199"/>
      <c r="X11" s="37"/>
      <c r="Y11" s="197">
        <v>1326</v>
      </c>
      <c r="Z11" s="200"/>
      <c r="AA11" s="174"/>
      <c r="AB11" s="40"/>
      <c r="AC11" s="40"/>
      <c r="AD11" s="175"/>
      <c r="AE11" s="174"/>
      <c r="AF11" s="40"/>
      <c r="AG11" s="40"/>
      <c r="AH11" s="179"/>
      <c r="AI11" s="174">
        <f t="shared" ref="AI11" si="13">W11+AA11+AE11</f>
        <v>0</v>
      </c>
      <c r="AJ11" s="40">
        <f t="shared" ref="AJ11" si="14">X11+AB11+AF11</f>
        <v>0</v>
      </c>
      <c r="AK11" s="39">
        <f t="shared" ref="AK11" si="15">Y11+AC11+AG11</f>
        <v>1326</v>
      </c>
      <c r="AL11" s="179"/>
      <c r="AM11" s="202"/>
      <c r="AN11" s="37"/>
      <c r="AO11" s="37"/>
    </row>
    <row r="12" spans="1:41" s="29" customFormat="1" ht="15.75" thickBot="1">
      <c r="A12" s="506" t="s">
        <v>18</v>
      </c>
      <c r="B12" s="507"/>
      <c r="C12" s="140">
        <f>SUM(C7:C11)</f>
        <v>14912</v>
      </c>
      <c r="D12" s="141">
        <f t="shared" ref="D12:E12" si="16">SUM(D7:D11)</f>
        <v>17475</v>
      </c>
      <c r="E12" s="141">
        <f t="shared" si="16"/>
        <v>17458</v>
      </c>
      <c r="F12" s="143">
        <f t="shared" si="2"/>
        <v>0.99902718168812588</v>
      </c>
      <c r="G12" s="140">
        <f t="shared" ref="G12:M12" si="17">SUM(G7:G9)</f>
        <v>2944</v>
      </c>
      <c r="H12" s="141">
        <f t="shared" si="17"/>
        <v>3753</v>
      </c>
      <c r="I12" s="141">
        <f t="shared" si="17"/>
        <v>2436</v>
      </c>
      <c r="J12" s="196">
        <f t="shared" si="3"/>
        <v>0.64908073541167066</v>
      </c>
      <c r="K12" s="140">
        <f t="shared" si="17"/>
        <v>800</v>
      </c>
      <c r="L12" s="141">
        <f t="shared" si="17"/>
        <v>561</v>
      </c>
      <c r="M12" s="158">
        <f t="shared" si="17"/>
        <v>0</v>
      </c>
      <c r="N12" s="159"/>
      <c r="O12" s="182">
        <f>SUM(O7:O9)</f>
        <v>0</v>
      </c>
      <c r="P12" s="183">
        <f>SUM(P7:P9)</f>
        <v>500</v>
      </c>
      <c r="Q12" s="183">
        <f>SUM(Q7:Q10)</f>
        <v>22</v>
      </c>
      <c r="R12" s="184">
        <f>Q12/P12</f>
        <v>4.3999999999999997E-2</v>
      </c>
      <c r="S12" s="140">
        <f>SUM(S7:S9)</f>
        <v>18656</v>
      </c>
      <c r="T12" s="141">
        <f>SUM(T7:T11)</f>
        <v>22289</v>
      </c>
      <c r="U12" s="141">
        <f>SUM(U7:U11)</f>
        <v>19916</v>
      </c>
      <c r="V12" s="196">
        <f t="shared" si="5"/>
        <v>0.89353492754273411</v>
      </c>
      <c r="W12" s="182">
        <f>SUM(W7:W9)</f>
        <v>0</v>
      </c>
      <c r="X12" s="158">
        <f t="shared" ref="X12" si="18">SUM(X7:X9)</f>
        <v>0</v>
      </c>
      <c r="Y12" s="201">
        <f>SUM(Y7:Y11)</f>
        <v>1328</v>
      </c>
      <c r="Z12" s="159"/>
      <c r="AA12" s="140">
        <f>SUM(AA7:AA9)</f>
        <v>11537</v>
      </c>
      <c r="AB12" s="158">
        <f>SUM(AB7:AB9)</f>
        <v>0</v>
      </c>
      <c r="AC12" s="158">
        <f>SUM(AC7:AC9)</f>
        <v>0</v>
      </c>
      <c r="AD12" s="159"/>
      <c r="AE12" s="140">
        <f>SUM(AE7:AE10)</f>
        <v>7119</v>
      </c>
      <c r="AF12" s="141">
        <f t="shared" ref="AF12:AG12" si="19">SUM(AF7:AF10)</f>
        <v>22289</v>
      </c>
      <c r="AG12" s="141">
        <f t="shared" si="19"/>
        <v>21719</v>
      </c>
      <c r="AH12" s="196">
        <f>AG12/AF12</f>
        <v>0.97442684732379203</v>
      </c>
      <c r="AI12" s="140">
        <f>SUM(AI7:AI10)</f>
        <v>18656</v>
      </c>
      <c r="AJ12" s="141">
        <f t="shared" ref="AJ12" si="20">SUM(AJ7:AJ10)</f>
        <v>22289</v>
      </c>
      <c r="AK12" s="141">
        <f>SUM(AK7:AK11)</f>
        <v>23047</v>
      </c>
      <c r="AL12" s="196">
        <f t="shared" ref="AL12" si="21">AK12/AJ12</f>
        <v>1.0340078065413432</v>
      </c>
      <c r="AM12" s="193">
        <f>SUM(AM7:AM9)</f>
        <v>6</v>
      </c>
      <c r="AN12" s="163"/>
      <c r="AO12" s="194"/>
    </row>
    <row r="15" spans="1:41">
      <c r="B15" s="13" t="str">
        <f>Tartalomjegyzék!A20</f>
        <v>Cibakháza, 2016. május 31.</v>
      </c>
    </row>
  </sheetData>
  <mergeCells count="19">
    <mergeCell ref="W5:Z5"/>
    <mergeCell ref="AA5:AD5"/>
    <mergeCell ref="AE5:AH5"/>
    <mergeCell ref="AI5:AL5"/>
    <mergeCell ref="A12:B12"/>
    <mergeCell ref="A5:A6"/>
    <mergeCell ref="B5:B6"/>
    <mergeCell ref="C5:F5"/>
    <mergeCell ref="G5:J5"/>
    <mergeCell ref="K5:N5"/>
    <mergeCell ref="O5:R5"/>
    <mergeCell ref="S5:V5"/>
    <mergeCell ref="A2:AO2"/>
    <mergeCell ref="AM1:AO1"/>
    <mergeCell ref="A4:B4"/>
    <mergeCell ref="AM4:AO4"/>
    <mergeCell ref="A3:AL3"/>
    <mergeCell ref="C4:V4"/>
    <mergeCell ref="W4:AL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Tartalomjegyzék</vt:lpstr>
      <vt:lpstr>1.sz.Összesítő</vt:lpstr>
      <vt:lpstr>2.sz.Önkormányzat</vt:lpstr>
      <vt:lpstr>3.sz.Cházi Közös Önk.Hiv.</vt:lpstr>
      <vt:lpstr>4.sz.Óvoda</vt:lpstr>
      <vt:lpstr>5.sz.Könyvtár</vt:lpstr>
      <vt:lpstr>6.sz.Műv.Ház</vt:lpstr>
      <vt:lpstr>7.sz.Bölcsőde</vt:lpstr>
      <vt:lpstr>8.sz.CSSK</vt:lpstr>
      <vt:lpstr>9.sz.KSZKI</vt:lpstr>
      <vt:lpstr>10.sz.KÖLTSÉGVETBEV</vt:lpstr>
      <vt:lpstr>11.sz.KÖLTSÉGVETKIAD.</vt:lpstr>
      <vt:lpstr>12.sz.MÉRLEG</vt:lpstr>
      <vt:lpstr>13.sz.MARADVÁNY</vt:lpstr>
      <vt:lpstr>14. sz EREDMÉNY</vt:lpstr>
      <vt:lpstr>15.szRÉSZESEDÉS</vt:lpstr>
      <vt:lpstr>16.sz Közvetett támogatások</vt:lpstr>
      <vt:lpstr>Munka1</vt:lpstr>
      <vt:lpstr>'1.sz.Összesítő'!Nyomtatási_terület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Tűzoltóság</cp:lastModifiedBy>
  <cp:lastPrinted>2015-03-16T17:05:00Z</cp:lastPrinted>
  <dcterms:created xsi:type="dcterms:W3CDTF">2014-01-27T07:36:46Z</dcterms:created>
  <dcterms:modified xsi:type="dcterms:W3CDTF">2016-05-26T13:00:28Z</dcterms:modified>
</cp:coreProperties>
</file>