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önyvelés\Költségvetés önkormányzat\Költségvetés 2020\2020. november ÖNK Kgt. vet\"/>
    </mc:Choice>
  </mc:AlternateContent>
  <xr:revisionPtr revIDLastSave="0" documentId="13_ncr:1_{86CD9FD9-A5C1-4067-BDBF-B144334ED9F0}" xr6:coauthVersionLast="45" xr6:coauthVersionMax="45" xr10:uidLastSave="{00000000-0000-0000-0000-000000000000}"/>
  <bookViews>
    <workbookView xWindow="-108" yWindow="-108" windowWidth="23256" windowHeight="12576" tabRatio="878" activeTab="16" xr2:uid="{00000000-000D-0000-FFFF-FFFF00000000}"/>
  </bookViews>
  <sheets>
    <sheet name="1).Bevételek összesen" sheetId="26" r:id="rId1"/>
    <sheet name="1a).Normatíva" sheetId="28" r:id="rId2"/>
    <sheet name="1b).Működési bevétel int." sheetId="10" r:id="rId3"/>
    <sheet name="1c).Beruházás felújítás" sheetId="24" r:id="rId4"/>
    <sheet name="2).Bevétel intézmény" sheetId="16" r:id="rId5"/>
    <sheet name="2a).Köt. műk. bev. intézmény " sheetId="29" r:id="rId6"/>
    <sheet name="3).Kiadások összesen" sheetId="7" r:id="rId7"/>
    <sheet name="3a).Személyi jutt intézmény" sheetId="37" r:id="rId8"/>
    <sheet name="3b).Dologi kiad intézmény" sheetId="36" r:id="rId9"/>
    <sheet name="3c).Dol. önk rész cofog" sheetId="30" r:id="rId10"/>
    <sheet name="4).Kiadás intézmény" sheetId="17" r:id="rId11"/>
    <sheet name="4a).Köt. műk. kia. intézmény" sheetId="31" r:id="rId12"/>
    <sheet name="5).Bevételi ei.telj önk" sheetId="32" r:id="rId13"/>
    <sheet name="6).Kiadási ei telj önk" sheetId="33" r:id="rId14"/>
    <sheet name="7). Ktg. vet. mérleg" sheetId="34" r:id="rId15"/>
    <sheet name="8).Közvetett közvetlen tám." sheetId="18" r:id="rId16"/>
    <sheet name="9).Több éves kihat. döntések" sheetId="19" r:id="rId17"/>
    <sheet name="10).Adott támogatások" sheetId="11" r:id="rId18"/>
  </sheets>
  <calcPr calcId="181029"/>
  <fileRecoveryPr autoRecover="0"/>
</workbook>
</file>

<file path=xl/calcChain.xml><?xml version="1.0" encoding="utf-8"?>
<calcChain xmlns="http://schemas.openxmlformats.org/spreadsheetml/2006/main">
  <c r="O14" i="33" l="1"/>
  <c r="O13" i="33"/>
  <c r="O12" i="33"/>
  <c r="O11" i="33"/>
  <c r="O10" i="33"/>
  <c r="O9" i="33"/>
  <c r="O8" i="33"/>
  <c r="O7" i="33"/>
  <c r="O6" i="33"/>
  <c r="O5" i="33"/>
  <c r="O11" i="32"/>
  <c r="O10" i="32"/>
  <c r="O9" i="32"/>
  <c r="O8" i="32"/>
  <c r="O7" i="32"/>
  <c r="O6" i="32"/>
  <c r="O5" i="32"/>
  <c r="C65" i="31"/>
  <c r="F67" i="31"/>
  <c r="E67" i="31"/>
  <c r="D67" i="31"/>
  <c r="F49" i="31"/>
  <c r="F55" i="31"/>
  <c r="E51" i="31"/>
  <c r="E55" i="31"/>
  <c r="D51" i="31"/>
  <c r="D55" i="31"/>
  <c r="D39" i="31"/>
  <c r="F45" i="31"/>
  <c r="E45" i="31"/>
  <c r="D45" i="31"/>
  <c r="D26" i="31"/>
  <c r="E26" i="31"/>
  <c r="F35" i="31"/>
  <c r="E35" i="31"/>
  <c r="D35" i="31"/>
  <c r="G21" i="31"/>
  <c r="V13" i="30"/>
  <c r="V12" i="30"/>
  <c r="V11" i="30"/>
  <c r="V10" i="30"/>
  <c r="V9" i="30"/>
  <c r="V8" i="30"/>
  <c r="V7" i="30"/>
  <c r="V6" i="30"/>
  <c r="V5" i="30"/>
  <c r="V26" i="30"/>
  <c r="V25" i="30"/>
  <c r="V24" i="30"/>
  <c r="V23" i="30"/>
  <c r="V22" i="30"/>
  <c r="V21" i="30"/>
  <c r="V20" i="30"/>
  <c r="V19" i="30"/>
  <c r="V18" i="30"/>
  <c r="V17" i="30"/>
  <c r="V16" i="30"/>
  <c r="V15" i="30"/>
  <c r="V14" i="30"/>
  <c r="C30" i="29"/>
  <c r="E32" i="29"/>
  <c r="E31" i="29"/>
  <c r="E40" i="29"/>
  <c r="C38" i="29"/>
  <c r="C47" i="29"/>
  <c r="E48" i="29"/>
  <c r="E22" i="29"/>
  <c r="E19" i="29"/>
  <c r="E18" i="29"/>
  <c r="E17" i="29"/>
  <c r="E16" i="29"/>
  <c r="E15" i="29"/>
  <c r="D14" i="29"/>
  <c r="D13" i="29"/>
  <c r="D12" i="29"/>
  <c r="C9" i="29"/>
  <c r="C10" i="29"/>
  <c r="C8" i="29"/>
  <c r="F17" i="36"/>
  <c r="F66" i="37"/>
  <c r="F78" i="37"/>
  <c r="F6" i="36" l="1"/>
  <c r="H53" i="16"/>
  <c r="H67" i="16"/>
  <c r="H30" i="24"/>
  <c r="F26" i="37"/>
  <c r="H81" i="16" l="1"/>
  <c r="F41" i="37"/>
  <c r="F29" i="37" l="1"/>
  <c r="F42" i="37"/>
  <c r="F30" i="37"/>
  <c r="H69" i="24"/>
  <c r="H44" i="24"/>
  <c r="H52" i="24"/>
  <c r="H65" i="24"/>
  <c r="E21" i="10" l="1"/>
  <c r="F21" i="10"/>
  <c r="F65" i="37" l="1"/>
  <c r="F18" i="17" l="1"/>
  <c r="H27" i="26" l="1"/>
  <c r="D19" i="24"/>
  <c r="E50" i="28" l="1"/>
  <c r="H29" i="16" l="1"/>
  <c r="H22" i="24" l="1"/>
  <c r="H23" i="24" s="1"/>
  <c r="D24" i="24"/>
  <c r="H25" i="24"/>
  <c r="H26" i="24"/>
  <c r="D27" i="24"/>
  <c r="H28" i="24"/>
  <c r="D30" i="24"/>
  <c r="D33" i="24"/>
  <c r="H33" i="24"/>
  <c r="H34" i="24"/>
  <c r="H35" i="24"/>
  <c r="H10" i="24"/>
  <c r="H11" i="24" s="1"/>
  <c r="D12" i="24"/>
  <c r="H56" i="24"/>
  <c r="H57" i="24" s="1"/>
  <c r="D58" i="24"/>
  <c r="H59" i="24"/>
  <c r="H60" i="24"/>
  <c r="D61" i="24"/>
  <c r="H66" i="24"/>
  <c r="D67" i="24"/>
  <c r="H29" i="24" l="1"/>
  <c r="D21" i="24"/>
  <c r="F18" i="36" l="1"/>
  <c r="F80" i="37"/>
  <c r="F75" i="37"/>
  <c r="F72" i="37"/>
  <c r="F76" i="37" l="1"/>
  <c r="F94" i="36" l="1"/>
  <c r="F89" i="36"/>
  <c r="F87" i="36"/>
  <c r="F80" i="36"/>
  <c r="F77" i="36"/>
  <c r="F54" i="36"/>
  <c r="F57" i="36"/>
  <c r="F66" i="36"/>
  <c r="F64" i="36"/>
  <c r="F71" i="36"/>
  <c r="F54" i="37"/>
  <c r="F57" i="37"/>
  <c r="F62" i="37"/>
  <c r="F22" i="37"/>
  <c r="F14" i="37"/>
  <c r="F18" i="37"/>
  <c r="F23" i="37"/>
  <c r="E5" i="37"/>
  <c r="F37" i="37"/>
  <c r="F95" i="36" l="1"/>
  <c r="F44" i="37"/>
  <c r="F84" i="37" s="1"/>
  <c r="F19" i="37"/>
  <c r="F72" i="36"/>
  <c r="F58" i="37"/>
  <c r="F39" i="37"/>
  <c r="F40" i="37" s="1"/>
  <c r="F82" i="37" l="1"/>
  <c r="G4" i="7" s="1"/>
  <c r="H5" i="34" s="1"/>
  <c r="C18" i="17"/>
  <c r="C19" i="17" s="1"/>
  <c r="F33" i="17"/>
  <c r="F31" i="17"/>
  <c r="F19" i="17"/>
  <c r="F13" i="17"/>
  <c r="G12" i="7" s="1"/>
  <c r="F11" i="17"/>
  <c r="F6" i="17"/>
  <c r="F5" i="17"/>
  <c r="F67" i="17"/>
  <c r="F66" i="17"/>
  <c r="F65" i="17"/>
  <c r="F54" i="17"/>
  <c r="F53" i="17"/>
  <c r="F52" i="17"/>
  <c r="F40" i="17"/>
  <c r="F39" i="17"/>
  <c r="F48" i="36"/>
  <c r="F43" i="36"/>
  <c r="F41" i="36"/>
  <c r="F34" i="36"/>
  <c r="F31" i="36"/>
  <c r="F25" i="36"/>
  <c r="F20" i="36"/>
  <c r="F10" i="36"/>
  <c r="F7" i="36"/>
  <c r="H82" i="16"/>
  <c r="H68" i="16"/>
  <c r="H54" i="16"/>
  <c r="H9" i="16"/>
  <c r="H9" i="26" s="1"/>
  <c r="H23" i="16"/>
  <c r="H24" i="16"/>
  <c r="H25" i="16"/>
  <c r="H26" i="16"/>
  <c r="H27" i="16"/>
  <c r="H22" i="16"/>
  <c r="H14" i="16"/>
  <c r="H14" i="26" s="1"/>
  <c r="G14" i="16"/>
  <c r="H40" i="16"/>
  <c r="H34" i="16"/>
  <c r="H31" i="16"/>
  <c r="H19" i="16"/>
  <c r="H21" i="16" s="1"/>
  <c r="H6" i="16"/>
  <c r="H6" i="26" s="1"/>
  <c r="H5" i="16"/>
  <c r="H5" i="26" s="1"/>
  <c r="E30" i="28"/>
  <c r="E32" i="28" s="1"/>
  <c r="E40" i="28"/>
  <c r="E36" i="28"/>
  <c r="E28" i="28"/>
  <c r="E25" i="28"/>
  <c r="E21" i="28"/>
  <c r="E20" i="28"/>
  <c r="E18" i="28"/>
  <c r="E14" i="28"/>
  <c r="E10" i="28"/>
  <c r="E5" i="28"/>
  <c r="E64" i="28"/>
  <c r="E62" i="28"/>
  <c r="E60" i="28"/>
  <c r="H8" i="16" s="1"/>
  <c r="H8" i="26" s="1"/>
  <c r="E57" i="28"/>
  <c r="E52" i="28"/>
  <c r="E80" i="28"/>
  <c r="E78" i="28"/>
  <c r="E76" i="28"/>
  <c r="E73" i="28"/>
  <c r="E70" i="28"/>
  <c r="E68" i="28"/>
  <c r="G28" i="7"/>
  <c r="G29" i="7" s="1"/>
  <c r="H14" i="34" s="1"/>
  <c r="G25" i="7"/>
  <c r="G24" i="7"/>
  <c r="G15" i="7"/>
  <c r="H10" i="34" s="1"/>
  <c r="G13" i="7"/>
  <c r="G11" i="7"/>
  <c r="G9" i="7"/>
  <c r="G8" i="7"/>
  <c r="G7" i="7"/>
  <c r="G5" i="7"/>
  <c r="H33" i="26"/>
  <c r="H32" i="26"/>
  <c r="H26" i="26"/>
  <c r="H24" i="26"/>
  <c r="H23" i="26"/>
  <c r="H20" i="26"/>
  <c r="H18" i="26"/>
  <c r="H17" i="26"/>
  <c r="H10" i="26"/>
  <c r="F26" i="36" l="1"/>
  <c r="F49" i="36"/>
  <c r="F41" i="17" s="1"/>
  <c r="F48" i="17" s="1"/>
  <c r="H56" i="16" s="1"/>
  <c r="E65" i="28"/>
  <c r="H34" i="26"/>
  <c r="C14" i="34" s="1"/>
  <c r="F7" i="17"/>
  <c r="F61" i="17"/>
  <c r="H70" i="16" s="1"/>
  <c r="F74" i="17"/>
  <c r="H84" i="16" s="1"/>
  <c r="G10" i="7"/>
  <c r="H8" i="34" s="1"/>
  <c r="G26" i="7"/>
  <c r="I13" i="34" s="1"/>
  <c r="F21" i="17"/>
  <c r="G14" i="7"/>
  <c r="G16" i="7" s="1"/>
  <c r="H36" i="26"/>
  <c r="H25" i="26"/>
  <c r="D10" i="34" s="1"/>
  <c r="H19" i="26"/>
  <c r="H21" i="26" s="1"/>
  <c r="C6" i="34" s="1"/>
  <c r="H28" i="26"/>
  <c r="D9" i="34" s="1"/>
  <c r="E41" i="28"/>
  <c r="E22" i="28"/>
  <c r="E81" i="28"/>
  <c r="H12" i="16" s="1"/>
  <c r="H12" i="26" s="1"/>
  <c r="H6" i="34"/>
  <c r="E13" i="11"/>
  <c r="F97" i="36" l="1"/>
  <c r="G6" i="7" s="1"/>
  <c r="H7" i="34" s="1"/>
  <c r="H7" i="16"/>
  <c r="E46" i="28"/>
  <c r="G31" i="7"/>
  <c r="F34" i="17"/>
  <c r="F35" i="17" s="1"/>
  <c r="H9" i="34"/>
  <c r="H62" i="24"/>
  <c r="H63" i="24" s="1"/>
  <c r="D64" i="24"/>
  <c r="H7" i="26" l="1"/>
  <c r="H11" i="26" s="1"/>
  <c r="H13" i="26" s="1"/>
  <c r="C5" i="34" s="1"/>
  <c r="H11" i="16"/>
  <c r="H13" i="16" s="1"/>
  <c r="E29" i="16"/>
  <c r="F29" i="16"/>
  <c r="G29" i="16"/>
  <c r="C64" i="28" l="1"/>
  <c r="D64" i="28"/>
  <c r="B64" i="28"/>
  <c r="D76" i="28"/>
  <c r="D73" i="28"/>
  <c r="D60" i="28"/>
  <c r="G8" i="16" s="1"/>
  <c r="D57" i="28"/>
  <c r="E20" i="37" l="1"/>
  <c r="E65" i="37" l="1"/>
  <c r="D18" i="24" l="1"/>
  <c r="B21" i="24" l="1"/>
  <c r="B73" i="28" l="1"/>
  <c r="C73" i="28"/>
  <c r="E47" i="37" l="1"/>
  <c r="G67" i="16"/>
  <c r="D24" i="7" l="1"/>
  <c r="E59" i="37" l="1"/>
  <c r="G53" i="16"/>
  <c r="G81" i="16"/>
  <c r="D31" i="17" l="1"/>
  <c r="C31" i="17"/>
  <c r="E94" i="36" l="1"/>
  <c r="E89" i="36"/>
  <c r="E87" i="36"/>
  <c r="E80" i="36"/>
  <c r="E77" i="36"/>
  <c r="E71" i="36"/>
  <c r="E66" i="36"/>
  <c r="E64" i="36"/>
  <c r="E57" i="36"/>
  <c r="E54" i="36"/>
  <c r="E80" i="37"/>
  <c r="E75" i="37"/>
  <c r="E72" i="37"/>
  <c r="E62" i="37"/>
  <c r="E57" i="37"/>
  <c r="E54" i="37"/>
  <c r="E58" i="37" s="1"/>
  <c r="E48" i="36"/>
  <c r="E43" i="36"/>
  <c r="E41" i="36"/>
  <c r="E34" i="36"/>
  <c r="E31" i="36"/>
  <c r="D13" i="11"/>
  <c r="E44" i="37"/>
  <c r="E39" i="37"/>
  <c r="E37" i="37"/>
  <c r="E40" i="37" l="1"/>
  <c r="E95" i="36"/>
  <c r="E76" i="37"/>
  <c r="E72" i="36"/>
  <c r="E49" i="36"/>
  <c r="E6" i="37"/>
  <c r="E14" i="37" s="1"/>
  <c r="E22" i="37"/>
  <c r="E26" i="37" s="1"/>
  <c r="E18" i="37"/>
  <c r="E66" i="17"/>
  <c r="E53" i="17"/>
  <c r="E52" i="17"/>
  <c r="E40" i="17"/>
  <c r="E18" i="17"/>
  <c r="E33" i="17"/>
  <c r="E13" i="17"/>
  <c r="E11" i="17"/>
  <c r="E25" i="36"/>
  <c r="E20" i="36"/>
  <c r="E18" i="36"/>
  <c r="E10" i="36"/>
  <c r="E7" i="36"/>
  <c r="E54" i="17" l="1"/>
  <c r="E61" i="17" s="1"/>
  <c r="E67" i="17"/>
  <c r="E39" i="17"/>
  <c r="E65" i="17"/>
  <c r="E74" i="17" s="1"/>
  <c r="E84" i="37"/>
  <c r="E19" i="17"/>
  <c r="E6" i="17"/>
  <c r="E41" i="17"/>
  <c r="E48" i="17" s="1"/>
  <c r="E19" i="37"/>
  <c r="E26" i="36"/>
  <c r="E7" i="17" l="1"/>
  <c r="E5" i="17"/>
  <c r="E21" i="17"/>
  <c r="E82" i="37"/>
  <c r="E97" i="36"/>
  <c r="D42" i="24"/>
  <c r="J10" i="34" l="1"/>
  <c r="G82" i="16" l="1"/>
  <c r="G68" i="16"/>
  <c r="G54" i="16"/>
  <c r="G19" i="16"/>
  <c r="G21" i="16" s="1"/>
  <c r="G31" i="16"/>
  <c r="G34" i="16"/>
  <c r="G40" i="16"/>
  <c r="D68" i="28"/>
  <c r="D70" i="28"/>
  <c r="D78" i="28"/>
  <c r="D80" i="28"/>
  <c r="D62" i="28"/>
  <c r="C57" i="28"/>
  <c r="B57" i="28"/>
  <c r="D52" i="28"/>
  <c r="D50" i="28"/>
  <c r="C50" i="28"/>
  <c r="B50" i="28"/>
  <c r="C52" i="28"/>
  <c r="B52" i="28"/>
  <c r="D36" i="28"/>
  <c r="D40" i="28"/>
  <c r="D32" i="28"/>
  <c r="D28" i="28"/>
  <c r="D25" i="28"/>
  <c r="D18" i="28"/>
  <c r="D22" i="28" s="1"/>
  <c r="G6" i="16" s="1"/>
  <c r="D20" i="28"/>
  <c r="D10" i="28"/>
  <c r="D5" i="28"/>
  <c r="D14" i="28" s="1"/>
  <c r="D41" i="28" l="1"/>
  <c r="G7" i="16" s="1"/>
  <c r="D46" i="28"/>
  <c r="G5" i="16"/>
  <c r="D65" i="28"/>
  <c r="D81" i="28"/>
  <c r="G12" i="16" s="1"/>
  <c r="E34" i="17"/>
  <c r="U27" i="30"/>
  <c r="D65" i="37"/>
  <c r="F81" i="16"/>
  <c r="E35" i="17" l="1"/>
  <c r="G11" i="16"/>
  <c r="G13" i="16" s="1"/>
  <c r="C80" i="28"/>
  <c r="B80" i="28"/>
  <c r="F8" i="16"/>
  <c r="H15" i="31" l="1"/>
  <c r="H7" i="31"/>
  <c r="H9" i="31"/>
  <c r="H10" i="31"/>
  <c r="H11" i="31"/>
  <c r="H12" i="31"/>
  <c r="H13" i="31"/>
  <c r="H14" i="31"/>
  <c r="H16" i="31"/>
  <c r="H17" i="31"/>
  <c r="H18" i="31"/>
  <c r="H19" i="31"/>
  <c r="C18" i="30"/>
  <c r="E13" i="16"/>
  <c r="H8" i="31" l="1"/>
  <c r="D22" i="37"/>
  <c r="D6" i="37"/>
  <c r="H55" i="24"/>
  <c r="E13" i="26" l="1"/>
  <c r="C75" i="28"/>
  <c r="C13" i="11" l="1"/>
  <c r="B13" i="11"/>
  <c r="D21" i="10" l="1"/>
  <c r="F67" i="16"/>
  <c r="D30" i="36" l="1"/>
  <c r="D37" i="37" l="1"/>
  <c r="C39" i="37" l="1"/>
  <c r="D39" i="37"/>
  <c r="D40" i="37" s="1"/>
  <c r="B62" i="28" l="1"/>
  <c r="C62" i="28"/>
  <c r="B60" i="28"/>
  <c r="B65" i="28" s="1"/>
  <c r="C60" i="28"/>
  <c r="C65" i="28" s="1"/>
  <c r="B78" i="28" l="1"/>
  <c r="C78" i="28"/>
  <c r="B76" i="28"/>
  <c r="B70" i="28"/>
  <c r="C70" i="28"/>
  <c r="B68" i="28"/>
  <c r="C68" i="28"/>
  <c r="C76" i="28"/>
  <c r="B81" i="28" l="1"/>
  <c r="C81" i="28"/>
  <c r="F12" i="16" s="1"/>
  <c r="D39" i="24" l="1"/>
  <c r="H37" i="24"/>
  <c r="H38" i="24" l="1"/>
  <c r="D13" i="17" l="1"/>
  <c r="D33" i="17"/>
  <c r="D11" i="17"/>
  <c r="D44" i="37"/>
  <c r="D62" i="37"/>
  <c r="D57" i="37"/>
  <c r="D54" i="37"/>
  <c r="D80" i="37"/>
  <c r="D75" i="37"/>
  <c r="D72" i="37"/>
  <c r="D25" i="36"/>
  <c r="D20" i="36"/>
  <c r="D18" i="36"/>
  <c r="D10" i="36"/>
  <c r="D7" i="36"/>
  <c r="D94" i="36"/>
  <c r="D89" i="36"/>
  <c r="D87" i="36"/>
  <c r="D80" i="36"/>
  <c r="D77" i="36"/>
  <c r="D71" i="36"/>
  <c r="D66" i="36"/>
  <c r="D64" i="36"/>
  <c r="D57" i="36"/>
  <c r="D54" i="36"/>
  <c r="D48" i="36"/>
  <c r="D43" i="36"/>
  <c r="D41" i="36"/>
  <c r="D34" i="36"/>
  <c r="D31" i="36"/>
  <c r="D26" i="37"/>
  <c r="D18" i="37"/>
  <c r="D14" i="37"/>
  <c r="F82" i="16"/>
  <c r="F68" i="16"/>
  <c r="F54" i="16"/>
  <c r="F19" i="16"/>
  <c r="F21" i="16" s="1"/>
  <c r="F40" i="16"/>
  <c r="F34" i="16"/>
  <c r="F14" i="16"/>
  <c r="F13" i="11"/>
  <c r="D26" i="36" l="1"/>
  <c r="D49" i="36"/>
  <c r="D66" i="17"/>
  <c r="D19" i="37"/>
  <c r="D58" i="37"/>
  <c r="D53" i="17"/>
  <c r="D6" i="17"/>
  <c r="D84" i="37"/>
  <c r="D76" i="37"/>
  <c r="F31" i="16"/>
  <c r="D18" i="17"/>
  <c r="D19" i="17" s="1"/>
  <c r="D34" i="17"/>
  <c r="D35" i="17" s="1"/>
  <c r="D40" i="17"/>
  <c r="D72" i="36"/>
  <c r="D95" i="36"/>
  <c r="C40" i="28"/>
  <c r="C36" i="28"/>
  <c r="C32" i="28"/>
  <c r="C25" i="28"/>
  <c r="C28" i="28"/>
  <c r="C10" i="28"/>
  <c r="C5" i="28"/>
  <c r="C18" i="28"/>
  <c r="C20" i="28"/>
  <c r="B21" i="28"/>
  <c r="D82" i="37" l="1"/>
  <c r="D21" i="17"/>
  <c r="C14" i="28"/>
  <c r="D97" i="36"/>
  <c r="C22" i="28"/>
  <c r="F6" i="16" s="1"/>
  <c r="D41" i="17"/>
  <c r="C41" i="28"/>
  <c r="F7" i="16" s="1"/>
  <c r="D67" i="17"/>
  <c r="D7" i="17"/>
  <c r="D5" i="17"/>
  <c r="D52" i="17"/>
  <c r="D65" i="17"/>
  <c r="D39" i="17"/>
  <c r="D54" i="17"/>
  <c r="F5" i="16" l="1"/>
  <c r="C46" i="28"/>
  <c r="G87" i="37"/>
  <c r="F11" i="16" l="1"/>
  <c r="F13" i="16" s="1"/>
  <c r="G88" i="37" l="1"/>
  <c r="F90" i="37"/>
  <c r="C55" i="31" s="1"/>
  <c r="E90" i="37"/>
  <c r="C67" i="31" s="1"/>
  <c r="H53" i="24" l="1"/>
  <c r="H54" i="24" l="1"/>
  <c r="H7" i="24" l="1"/>
  <c r="H8" i="24" l="1"/>
  <c r="B10" i="28" l="1"/>
  <c r="D72" i="24" l="1"/>
  <c r="C90" i="37" l="1"/>
  <c r="C35" i="31" s="1"/>
  <c r="D90" i="37"/>
  <c r="C45" i="31" s="1"/>
  <c r="G89" i="37"/>
  <c r="C18" i="37"/>
  <c r="C14" i="37"/>
  <c r="C94" i="36"/>
  <c r="C87" i="36"/>
  <c r="C80" i="36"/>
  <c r="C77" i="36"/>
  <c r="C71" i="36"/>
  <c r="C64" i="36"/>
  <c r="C57" i="36"/>
  <c r="C54" i="36"/>
  <c r="C48" i="36"/>
  <c r="C41" i="36"/>
  <c r="C34" i="36"/>
  <c r="C31" i="36"/>
  <c r="C25" i="36"/>
  <c r="C18" i="36"/>
  <c r="C10" i="36"/>
  <c r="C7" i="36"/>
  <c r="C34" i="17"/>
  <c r="C33" i="17"/>
  <c r="C13" i="17"/>
  <c r="C80" i="37" l="1"/>
  <c r="C62" i="37"/>
  <c r="C75" i="37"/>
  <c r="C72" i="37"/>
  <c r="C44" i="37"/>
  <c r="C57" i="37"/>
  <c r="C54" i="37"/>
  <c r="C37" i="37"/>
  <c r="C19" i="37"/>
  <c r="C26" i="37"/>
  <c r="C66" i="36"/>
  <c r="C72" i="36" s="1"/>
  <c r="C89" i="36"/>
  <c r="C95" i="36" s="1"/>
  <c r="C20" i="36"/>
  <c r="C43" i="36"/>
  <c r="C49" i="36" s="1"/>
  <c r="D31" i="7"/>
  <c r="D28" i="7"/>
  <c r="D25" i="7"/>
  <c r="D26" i="7" s="1"/>
  <c r="C84" i="37" l="1"/>
  <c r="D5" i="7" s="1"/>
  <c r="C76" i="37"/>
  <c r="C58" i="37"/>
  <c r="C40" i="37"/>
  <c r="C26" i="36"/>
  <c r="D18" i="30"/>
  <c r="E18" i="30"/>
  <c r="F18" i="30"/>
  <c r="G18" i="30"/>
  <c r="H18" i="30"/>
  <c r="I18" i="30"/>
  <c r="J18" i="30"/>
  <c r="K18" i="30"/>
  <c r="L18" i="30"/>
  <c r="M18" i="30"/>
  <c r="N18" i="30"/>
  <c r="O18" i="30"/>
  <c r="P18" i="30"/>
  <c r="Q18" i="30"/>
  <c r="R18" i="30"/>
  <c r="S18" i="30"/>
  <c r="T18" i="30"/>
  <c r="H13" i="32"/>
  <c r="B13" i="32"/>
  <c r="C13" i="32"/>
  <c r="D13" i="32"/>
  <c r="E13" i="32"/>
  <c r="F13" i="32"/>
  <c r="G13" i="32"/>
  <c r="I13" i="32"/>
  <c r="J13" i="32"/>
  <c r="K13" i="32"/>
  <c r="L13" i="32"/>
  <c r="M13" i="32"/>
  <c r="C74" i="17" l="1"/>
  <c r="N13" i="32"/>
  <c r="C97" i="36"/>
  <c r="C82" i="37"/>
  <c r="D4" i="7" s="1"/>
  <c r="U18" i="30"/>
  <c r="D6" i="7" l="1"/>
  <c r="H47" i="16" l="1"/>
  <c r="H51" i="16" s="1"/>
  <c r="H55" i="16" s="1"/>
  <c r="F49" i="17" l="1"/>
  <c r="F50" i="17" s="1"/>
  <c r="D76" i="24"/>
  <c r="H35" i="16" l="1"/>
  <c r="H36" i="16" s="1"/>
  <c r="H29" i="26" s="1"/>
  <c r="H30" i="26" s="1"/>
  <c r="D11" i="34" s="1"/>
  <c r="G35" i="16"/>
  <c r="F30" i="10"/>
  <c r="H61" i="16" s="1"/>
  <c r="H65" i="16" s="1"/>
  <c r="H69" i="16" s="1"/>
  <c r="F12" i="10"/>
  <c r="H28" i="16" s="1"/>
  <c r="F62" i="17" l="1"/>
  <c r="F63" i="17" s="1"/>
  <c r="F36" i="16"/>
  <c r="G36" i="16"/>
  <c r="D77" i="24"/>
  <c r="H72" i="24"/>
  <c r="H4" i="24"/>
  <c r="H5" i="24" s="1"/>
  <c r="H16" i="24"/>
  <c r="H19" i="24"/>
  <c r="H13" i="24"/>
  <c r="H76" i="24" s="1"/>
  <c r="G17" i="7" l="1"/>
  <c r="F22" i="17"/>
  <c r="H14" i="24"/>
  <c r="H77" i="24" s="1"/>
  <c r="H17" i="24"/>
  <c r="H20" i="24"/>
  <c r="G21" i="7" l="1"/>
  <c r="F26" i="17"/>
  <c r="F27" i="17"/>
  <c r="H78" i="24" l="1"/>
  <c r="F28" i="17" s="1"/>
  <c r="G22" i="7"/>
  <c r="G23" i="7" s="1"/>
  <c r="I12" i="34" s="1"/>
  <c r="U12" i="30"/>
  <c r="U13" i="30"/>
  <c r="U14" i="30"/>
  <c r="U15" i="30"/>
  <c r="U16" i="30"/>
  <c r="U17" i="30"/>
  <c r="U11" i="30"/>
  <c r="N13" i="33" l="1"/>
  <c r="C12" i="10" l="1"/>
  <c r="E12" i="10"/>
  <c r="G28" i="16" s="1"/>
  <c r="B40" i="28" l="1"/>
  <c r="B36" i="28"/>
  <c r="B32" i="28"/>
  <c r="B25" i="28"/>
  <c r="B28" i="28"/>
  <c r="B41" i="28" l="1"/>
  <c r="D39" i="29" l="1"/>
  <c r="E39" i="29"/>
  <c r="C46" i="29"/>
  <c r="D46" i="29"/>
  <c r="E46" i="29"/>
  <c r="E30" i="10" l="1"/>
  <c r="G61" i="16" s="1"/>
  <c r="G65" i="16" s="1"/>
  <c r="G69" i="16" l="1"/>
  <c r="E62" i="17" s="1"/>
  <c r="E63" i="17" s="1"/>
  <c r="B18" i="28"/>
  <c r="D12" i="10" l="1"/>
  <c r="F28" i="16" s="1"/>
  <c r="M14" i="33" l="1"/>
  <c r="D39" i="10" l="1"/>
  <c r="F75" i="16" s="1"/>
  <c r="F79" i="16" s="1"/>
  <c r="F83" i="16" s="1"/>
  <c r="D75" i="17" s="1"/>
  <c r="F47" i="16" l="1"/>
  <c r="D30" i="10"/>
  <c r="F61" i="16" s="1"/>
  <c r="F65" i="16" s="1"/>
  <c r="F69" i="16" l="1"/>
  <c r="D62" i="17" s="1"/>
  <c r="F51" i="16"/>
  <c r="F55" i="16" s="1"/>
  <c r="D49" i="17" s="1"/>
  <c r="F32" i="29"/>
  <c r="U24" i="30" l="1"/>
  <c r="U23" i="30"/>
  <c r="U22" i="30"/>
  <c r="U21" i="30"/>
  <c r="T25" i="30"/>
  <c r="S25" i="30"/>
  <c r="R25" i="30"/>
  <c r="Q25" i="30"/>
  <c r="P25" i="30"/>
  <c r="O25" i="30"/>
  <c r="N25" i="30"/>
  <c r="M25" i="30"/>
  <c r="L25" i="30"/>
  <c r="K25" i="30"/>
  <c r="J25" i="30"/>
  <c r="I25" i="30"/>
  <c r="H25" i="30"/>
  <c r="G25" i="30"/>
  <c r="F25" i="30"/>
  <c r="E25" i="30"/>
  <c r="D25" i="30"/>
  <c r="U19" i="30"/>
  <c r="T20" i="30"/>
  <c r="S20" i="30"/>
  <c r="R20" i="30"/>
  <c r="Q20" i="30"/>
  <c r="P20" i="30"/>
  <c r="O20" i="30"/>
  <c r="N20" i="30"/>
  <c r="M20" i="30"/>
  <c r="L20" i="30"/>
  <c r="K20" i="30"/>
  <c r="J20" i="30"/>
  <c r="I20" i="30"/>
  <c r="H20" i="30"/>
  <c r="G20" i="30"/>
  <c r="F20" i="30"/>
  <c r="E20" i="30"/>
  <c r="D20" i="30"/>
  <c r="U9" i="30"/>
  <c r="U8" i="30"/>
  <c r="T10" i="30"/>
  <c r="S10" i="30"/>
  <c r="R10" i="30"/>
  <c r="Q10" i="30"/>
  <c r="P10" i="30"/>
  <c r="O10" i="30"/>
  <c r="N10" i="30"/>
  <c r="M10" i="30"/>
  <c r="L10" i="30"/>
  <c r="K10" i="30"/>
  <c r="J10" i="30"/>
  <c r="I10" i="30"/>
  <c r="H10" i="30"/>
  <c r="G10" i="30"/>
  <c r="F10" i="30"/>
  <c r="E10" i="30"/>
  <c r="D10" i="30"/>
  <c r="U6" i="30"/>
  <c r="T7" i="30"/>
  <c r="S7" i="30"/>
  <c r="R7" i="30"/>
  <c r="Q7" i="30"/>
  <c r="P7" i="30"/>
  <c r="O7" i="30"/>
  <c r="N7" i="30"/>
  <c r="M7" i="30"/>
  <c r="L7" i="30"/>
  <c r="K7" i="30"/>
  <c r="J7" i="30"/>
  <c r="I7" i="30"/>
  <c r="H7" i="30"/>
  <c r="G7" i="30"/>
  <c r="F7" i="30"/>
  <c r="E7" i="30"/>
  <c r="D7" i="30"/>
  <c r="G65" i="31"/>
  <c r="G66" i="31" s="1"/>
  <c r="F65" i="31"/>
  <c r="F66" i="31" s="1"/>
  <c r="F68" i="31" s="1"/>
  <c r="E65" i="31"/>
  <c r="E66" i="31" s="1"/>
  <c r="E68" i="31" s="1"/>
  <c r="H53" i="31"/>
  <c r="H51" i="31"/>
  <c r="G52" i="31"/>
  <c r="F52" i="31"/>
  <c r="E52" i="31"/>
  <c r="G50" i="31"/>
  <c r="F50" i="31"/>
  <c r="E50" i="31"/>
  <c r="D50" i="31"/>
  <c r="C50" i="31"/>
  <c r="G41" i="31"/>
  <c r="G44" i="31" s="1"/>
  <c r="F41" i="31"/>
  <c r="E41" i="31"/>
  <c r="E44" i="31" s="1"/>
  <c r="E46" i="31" s="1"/>
  <c r="D41" i="31"/>
  <c r="D44" i="31" s="1"/>
  <c r="C41" i="31"/>
  <c r="C44" i="31" s="1"/>
  <c r="C46" i="31" s="1"/>
  <c r="H33" i="31"/>
  <c r="G45" i="31" l="1"/>
  <c r="G46" i="31"/>
  <c r="G67" i="31"/>
  <c r="G68" i="31"/>
  <c r="D46" i="31"/>
  <c r="F44" i="31"/>
  <c r="F46" i="31" s="1"/>
  <c r="I26" i="30"/>
  <c r="R26" i="30"/>
  <c r="J26" i="30"/>
  <c r="S26" i="30"/>
  <c r="M26" i="30"/>
  <c r="J13" i="34"/>
  <c r="O26" i="30"/>
  <c r="Q26" i="30"/>
  <c r="P26" i="30"/>
  <c r="N26" i="30"/>
  <c r="L26" i="30"/>
  <c r="K26" i="30"/>
  <c r="H26" i="30"/>
  <c r="F26" i="30"/>
  <c r="E26" i="30"/>
  <c r="D26" i="30"/>
  <c r="T26" i="30"/>
  <c r="G26" i="30"/>
  <c r="F54" i="31"/>
  <c r="F56" i="31" s="1"/>
  <c r="D10" i="7"/>
  <c r="E54" i="31"/>
  <c r="E56" i="31" s="1"/>
  <c r="G54" i="31"/>
  <c r="H50" i="31"/>
  <c r="G55" i="31" l="1"/>
  <c r="G56" i="31"/>
  <c r="D23" i="7"/>
  <c r="D55" i="24"/>
  <c r="D52" i="24"/>
  <c r="D49" i="24"/>
  <c r="D6" i="24"/>
  <c r="E34" i="26"/>
  <c r="F37" i="29"/>
  <c r="F38" i="29" s="1"/>
  <c r="F39" i="29" s="1"/>
  <c r="D49" i="29"/>
  <c r="D41" i="29"/>
  <c r="E82" i="16"/>
  <c r="E68" i="16"/>
  <c r="E54" i="16"/>
  <c r="E40" i="16"/>
  <c r="E36" i="16"/>
  <c r="E34" i="16"/>
  <c r="E31" i="16"/>
  <c r="E19" i="16"/>
  <c r="E21" i="16" s="1"/>
  <c r="D69" i="24" l="1"/>
  <c r="E33" i="29"/>
  <c r="E30" i="26"/>
  <c r="E41" i="29"/>
  <c r="E49" i="29"/>
  <c r="J12" i="34"/>
  <c r="E28" i="26"/>
  <c r="D29" i="7"/>
  <c r="C35" i="17"/>
  <c r="E25" i="26"/>
  <c r="E19" i="26"/>
  <c r="E21" i="26" s="1"/>
  <c r="G30" i="10"/>
  <c r="C30" i="10"/>
  <c r="G39" i="10"/>
  <c r="F39" i="10"/>
  <c r="H75" i="16" s="1"/>
  <c r="E39" i="10"/>
  <c r="G75" i="16" s="1"/>
  <c r="G79" i="16" s="1"/>
  <c r="C39" i="10"/>
  <c r="G21" i="10"/>
  <c r="G47" i="16"/>
  <c r="C21" i="10"/>
  <c r="G12" i="10"/>
  <c r="H79" i="16" l="1"/>
  <c r="H83" i="16" s="1"/>
  <c r="F75" i="17" s="1"/>
  <c r="F76" i="17" s="1"/>
  <c r="H22" i="26"/>
  <c r="C7" i="34" s="1"/>
  <c r="G83" i="16"/>
  <c r="E75" i="17" s="1"/>
  <c r="E32" i="17"/>
  <c r="E36" i="17" s="1"/>
  <c r="G51" i="16"/>
  <c r="G55" i="16" s="1"/>
  <c r="E49" i="17" s="1"/>
  <c r="E50" i="17" s="1"/>
  <c r="D32" i="17"/>
  <c r="D36" i="17" s="1"/>
  <c r="F31" i="29"/>
  <c r="E79" i="16"/>
  <c r="E51" i="16"/>
  <c r="E55" i="16" s="1"/>
  <c r="C49" i="17" s="1"/>
  <c r="C8" i="19"/>
  <c r="D8" i="19"/>
  <c r="E8" i="19"/>
  <c r="F8" i="19"/>
  <c r="C11" i="18"/>
  <c r="N5" i="33"/>
  <c r="N6" i="33"/>
  <c r="N7" i="33"/>
  <c r="N8" i="33"/>
  <c r="N9" i="33"/>
  <c r="N10" i="33"/>
  <c r="N11" i="33"/>
  <c r="N12" i="33"/>
  <c r="B14" i="33"/>
  <c r="C14" i="33"/>
  <c r="D14" i="33"/>
  <c r="E14" i="33"/>
  <c r="F14" i="33"/>
  <c r="G14" i="33"/>
  <c r="H14" i="33"/>
  <c r="I14" i="33"/>
  <c r="J14" i="33"/>
  <c r="K14" i="33"/>
  <c r="L14" i="33"/>
  <c r="N7" i="32"/>
  <c r="N9" i="32"/>
  <c r="N10" i="32"/>
  <c r="N11" i="32"/>
  <c r="C20" i="31"/>
  <c r="D20" i="31"/>
  <c r="E20" i="31"/>
  <c r="F20" i="31"/>
  <c r="G20" i="31"/>
  <c r="H22" i="31"/>
  <c r="H23" i="31"/>
  <c r="H24" i="31"/>
  <c r="H25" i="31"/>
  <c r="H26" i="31"/>
  <c r="H27" i="31"/>
  <c r="H28" i="31"/>
  <c r="H29" i="31"/>
  <c r="H30" i="31"/>
  <c r="H31" i="31"/>
  <c r="D32" i="31"/>
  <c r="E32" i="31"/>
  <c r="F32" i="31"/>
  <c r="H39" i="31"/>
  <c r="H40" i="31"/>
  <c r="H42" i="31"/>
  <c r="H43" i="31"/>
  <c r="H49" i="31"/>
  <c r="C52" i="31"/>
  <c r="C54" i="31" s="1"/>
  <c r="C56" i="31" s="1"/>
  <c r="D52" i="31"/>
  <c r="H59" i="31"/>
  <c r="H60" i="31"/>
  <c r="H61" i="31"/>
  <c r="H62" i="31"/>
  <c r="H63" i="31"/>
  <c r="H64" i="31"/>
  <c r="C66" i="31"/>
  <c r="C68" i="31" s="1"/>
  <c r="D65" i="31"/>
  <c r="H65" i="31" s="1"/>
  <c r="C11" i="17"/>
  <c r="U5" i="30"/>
  <c r="C7" i="30"/>
  <c r="U7" i="30" s="1"/>
  <c r="C10" i="30"/>
  <c r="U10" i="30" s="1"/>
  <c r="C20" i="30"/>
  <c r="U20" i="30" s="1"/>
  <c r="C25" i="30"/>
  <c r="U25" i="30" s="1"/>
  <c r="C32" i="31"/>
  <c r="J14" i="34"/>
  <c r="F8" i="29"/>
  <c r="F9" i="29"/>
  <c r="F10" i="29"/>
  <c r="F11" i="29"/>
  <c r="F12" i="29"/>
  <c r="F13" i="29"/>
  <c r="F14" i="29"/>
  <c r="F16" i="29"/>
  <c r="F17" i="29"/>
  <c r="F18" i="29"/>
  <c r="F19" i="29"/>
  <c r="C20" i="29"/>
  <c r="C25" i="29" s="1"/>
  <c r="F22" i="29"/>
  <c r="F23" i="29" s="1"/>
  <c r="D9" i="24"/>
  <c r="D15" i="24"/>
  <c r="B5" i="28"/>
  <c r="B14" i="28" s="1"/>
  <c r="B20" i="28"/>
  <c r="B22" i="28" s="1"/>
  <c r="D74" i="24" l="1"/>
  <c r="D73" i="24" s="1"/>
  <c r="D44" i="24"/>
  <c r="E22" i="26"/>
  <c r="E83" i="16"/>
  <c r="C75" i="17" s="1"/>
  <c r="C39" i="29"/>
  <c r="C41" i="29" s="1"/>
  <c r="E65" i="16"/>
  <c r="N14" i="33"/>
  <c r="C33" i="29"/>
  <c r="U26" i="30"/>
  <c r="D34" i="31"/>
  <c r="H21" i="31"/>
  <c r="C26" i="30"/>
  <c r="D66" i="31"/>
  <c r="D68" i="31" s="1"/>
  <c r="H52" i="31"/>
  <c r="D54" i="31"/>
  <c r="D56" i="31" s="1"/>
  <c r="F34" i="31"/>
  <c r="F36" i="31" s="1"/>
  <c r="H41" i="31"/>
  <c r="H44" i="31" s="1"/>
  <c r="C34" i="31"/>
  <c r="C36" i="31" s="1"/>
  <c r="H20" i="31"/>
  <c r="E34" i="31"/>
  <c r="E36" i="31" s="1"/>
  <c r="J8" i="34"/>
  <c r="E14" i="34"/>
  <c r="E10" i="34"/>
  <c r="D20" i="29"/>
  <c r="D25" i="29" s="1"/>
  <c r="U28" i="30" l="1"/>
  <c r="D75" i="24"/>
  <c r="D79" i="24" s="1"/>
  <c r="D80" i="24" s="1"/>
  <c r="G15" i="16"/>
  <c r="H15" i="16"/>
  <c r="C21" i="17"/>
  <c r="B46" i="28"/>
  <c r="D16" i="7"/>
  <c r="D36" i="31"/>
  <c r="D70" i="31"/>
  <c r="H66" i="31"/>
  <c r="E7" i="34"/>
  <c r="G32" i="31"/>
  <c r="H32" i="31" s="1"/>
  <c r="H34" i="31" s="1"/>
  <c r="E69" i="16"/>
  <c r="C62" i="17" s="1"/>
  <c r="H54" i="31"/>
  <c r="F30" i="29"/>
  <c r="F33" i="29" s="1"/>
  <c r="F70" i="31"/>
  <c r="E70" i="31"/>
  <c r="D74" i="17"/>
  <c r="D61" i="17"/>
  <c r="C61" i="17"/>
  <c r="N6" i="32"/>
  <c r="H67" i="31"/>
  <c r="H55" i="31"/>
  <c r="E11" i="34"/>
  <c r="J6" i="34"/>
  <c r="F48" i="29"/>
  <c r="E6" i="34"/>
  <c r="F40" i="29"/>
  <c r="F41" i="29" s="1"/>
  <c r="H15" i="26" l="1"/>
  <c r="H16" i="26" s="1"/>
  <c r="H16" i="16"/>
  <c r="H37" i="16" s="1"/>
  <c r="H41" i="16" s="1"/>
  <c r="G16" i="16"/>
  <c r="G37" i="16" s="1"/>
  <c r="G41" i="16" s="1"/>
  <c r="H56" i="31"/>
  <c r="H68" i="31"/>
  <c r="G34" i="31"/>
  <c r="H70" i="31"/>
  <c r="F47" i="29"/>
  <c r="F49" i="29" s="1"/>
  <c r="C49" i="29"/>
  <c r="E16" i="26"/>
  <c r="E31" i="26" s="1"/>
  <c r="N8" i="32"/>
  <c r="E9" i="34"/>
  <c r="D8" i="34" l="1"/>
  <c r="H31" i="26"/>
  <c r="H35" i="26" s="1"/>
  <c r="G35" i="31"/>
  <c r="H35" i="31" s="1"/>
  <c r="H36" i="31" s="1"/>
  <c r="F16" i="16"/>
  <c r="F37" i="16" s="1"/>
  <c r="F41" i="16" s="1"/>
  <c r="G70" i="31"/>
  <c r="E16" i="16"/>
  <c r="E37" i="16" s="1"/>
  <c r="E41" i="16" s="1"/>
  <c r="V27" i="30"/>
  <c r="F15" i="29"/>
  <c r="E20" i="29"/>
  <c r="N5" i="32"/>
  <c r="H37" i="26" l="1"/>
  <c r="E16" i="34"/>
  <c r="G36" i="31"/>
  <c r="C15" i="34"/>
  <c r="J7" i="34"/>
  <c r="E25" i="29"/>
  <c r="F25" i="29" s="1"/>
  <c r="F20" i="29"/>
  <c r="E35" i="26"/>
  <c r="E5" i="34"/>
  <c r="E8" i="34" l="1"/>
  <c r="O13" i="32"/>
  <c r="E37" i="26"/>
  <c r="D15" i="34" l="1"/>
  <c r="E15" i="34" s="1"/>
  <c r="D48" i="17"/>
  <c r="D50" i="17" s="1"/>
  <c r="H45" i="31"/>
  <c r="H46" i="31" s="1"/>
  <c r="C48" i="17"/>
  <c r="J5" i="34" l="1"/>
  <c r="H15" i="34" l="1"/>
  <c r="J9" i="34"/>
  <c r="H49" i="24" l="1"/>
  <c r="C32" i="17" l="1"/>
  <c r="C36" i="17" s="1"/>
  <c r="D20" i="7" l="1"/>
  <c r="D27" i="7" l="1"/>
  <c r="D30" i="7" s="1"/>
  <c r="D32" i="7" l="1"/>
  <c r="H50" i="24"/>
  <c r="H51" i="24" s="1"/>
  <c r="H74" i="24" s="1"/>
  <c r="F24" i="17" l="1"/>
  <c r="G19" i="7"/>
  <c r="H73" i="24"/>
  <c r="H75" i="24" l="1"/>
  <c r="F23" i="17"/>
  <c r="G18" i="7"/>
  <c r="G20" i="7" s="1"/>
  <c r="G27" i="7" l="1"/>
  <c r="G30" i="7" s="1"/>
  <c r="I11" i="34"/>
  <c r="H79" i="24"/>
  <c r="H80" i="24" s="1"/>
  <c r="F25" i="17"/>
  <c r="F32" i="17" s="1"/>
  <c r="F36" i="17" s="1"/>
  <c r="I15" i="34" l="1"/>
  <c r="J11" i="34"/>
  <c r="J15" i="34" s="1"/>
  <c r="J16" i="34"/>
  <c r="H17" i="34" s="1"/>
  <c r="G20" i="17" s="1"/>
  <c r="G32" i="7"/>
</calcChain>
</file>

<file path=xl/sharedStrings.xml><?xml version="1.0" encoding="utf-8"?>
<sst xmlns="http://schemas.openxmlformats.org/spreadsheetml/2006/main" count="1593" uniqueCount="633">
  <si>
    <t>Készletbeszerzés</t>
  </si>
  <si>
    <t>Összesen:</t>
  </si>
  <si>
    <t>Kommunikációs szolgáltatások</t>
  </si>
  <si>
    <t>Egyéb kommunikációs szolgáltatások</t>
  </si>
  <si>
    <t>Vásárolt élelmezés</t>
  </si>
  <si>
    <t>Bérleti és lízingdíjak</t>
  </si>
  <si>
    <t>Önkormányzat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</si>
  <si>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</si>
  <si>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</si>
  <si>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</si>
  <si>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</si>
  <si>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</si>
  <si>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</si>
  <si>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</si>
  <si>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</si>
  <si>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</si>
  <si>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</si>
  <si>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</si>
  <si>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</si>
  <si>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</si>
  <si>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Összesen</t>
  </si>
  <si>
    <t>Jogcím</t>
  </si>
  <si>
    <t>I. 1. b) Település-üzemeltetéshez kapcsolódó feladatellátás támogatása összesen</t>
  </si>
  <si>
    <t>II. 1. (1) 1 óvodapedagógusok elismert létszáma</t>
  </si>
  <si>
    <t>III. 3. c (1) szociális étkeztetés</t>
  </si>
  <si>
    <t>III. 3. d (1) házi segítségnyújtás</t>
  </si>
  <si>
    <t>III. 3. f (1) időskorúak nappali intézményi ellátása</t>
  </si>
  <si>
    <t>I.</t>
  </si>
  <si>
    <t>Működési bevételek</t>
  </si>
  <si>
    <t>Intézményi működési bevételek</t>
  </si>
  <si>
    <t>Helyi adók</t>
  </si>
  <si>
    <t>II.</t>
  </si>
  <si>
    <t>III.</t>
  </si>
  <si>
    <t>IV.</t>
  </si>
  <si>
    <t>BEVÉTELEK ÖSSZESEN:</t>
  </si>
  <si>
    <t>Beruházások</t>
  </si>
  <si>
    <t>Személyi juttatások</t>
  </si>
  <si>
    <t>Dologi kiadások</t>
  </si>
  <si>
    <t>Felújítások</t>
  </si>
  <si>
    <t>Beruházás</t>
  </si>
  <si>
    <t>KIADÁSOK ÖSSZESEN:</t>
  </si>
  <si>
    <t>Jubileumi jutalom</t>
  </si>
  <si>
    <t>Személyi juttatások összesen:</t>
  </si>
  <si>
    <t xml:space="preserve">Felújítási kiadások terve </t>
  </si>
  <si>
    <t>Beruházási kiadások terve</t>
  </si>
  <si>
    <t>Szociális hozzájárulási adó</t>
  </si>
  <si>
    <t xml:space="preserve">Felújítási bevételek terve </t>
  </si>
  <si>
    <t>Beruházási bevételek terve</t>
  </si>
  <si>
    <t>Eredeti javaslat</t>
  </si>
  <si>
    <t>Egészségkárosodottak Csoportja</t>
  </si>
  <si>
    <t>Cserkészcsapat</t>
  </si>
  <si>
    <t>Dusnoki Kulturális Egyesület</t>
  </si>
  <si>
    <t xml:space="preserve">Polgárőrök </t>
  </si>
  <si>
    <t>Kincskereső</t>
  </si>
  <si>
    <t>Megnevezés</t>
  </si>
  <si>
    <t>Közhatalmi bevételek</t>
  </si>
  <si>
    <t>Dusnok Községi Önkormányzat bevételi előirányzatainak teljesüléséről</t>
  </si>
  <si>
    <t>Gépjárműadó</t>
  </si>
  <si>
    <t>Támogatás értékű bev. felh. célra</t>
  </si>
  <si>
    <t xml:space="preserve">Dusnok Községi Önkormányzat kiadási előirányzatainak  teljesítéséről </t>
  </si>
  <si>
    <t>BEVÉTELEK</t>
  </si>
  <si>
    <t>KIADÁSOK</t>
  </si>
  <si>
    <t xml:space="preserve">Megnevezés                   </t>
  </si>
  <si>
    <t>Működési célú bevételek</t>
  </si>
  <si>
    <t>Felhalmozási célú bevételek</t>
  </si>
  <si>
    <t>Működési célú kiadások</t>
  </si>
  <si>
    <t>Felhalmozási célú kiadások</t>
  </si>
  <si>
    <t>Bevételek összesen</t>
  </si>
  <si>
    <t>Kiadások összesen:</t>
  </si>
  <si>
    <t>Közvetlen támogatás:</t>
  </si>
  <si>
    <t>-</t>
  </si>
  <si>
    <t>iparűzési adóval kapcsolatos adómentesség</t>
  </si>
  <si>
    <t>Közvetett támogatás:</t>
  </si>
  <si>
    <t>mozgáskorlátozott egyének részére saját autó használatával kapcsolatban gépjárműadó mentesség</t>
  </si>
  <si>
    <t>Közvetett és közvetlen támogatások összesen:</t>
  </si>
  <si>
    <t>Bursa-Hungarica felsőokt.</t>
  </si>
  <si>
    <t>Összesen adatok</t>
  </si>
  <si>
    <t>Több éves kihatással járó döntés megnevezése</t>
  </si>
  <si>
    <t>Költségvetési bevételek terve intézményi szinten</t>
  </si>
  <si>
    <t>Engedélyezett létszámok ( fő )</t>
  </si>
  <si>
    <t>Közfoglalkoztatottak ( fő )</t>
  </si>
  <si>
    <t>kötelező, önként vállalt és államigazgatási feladatok szerinti bontásban</t>
  </si>
  <si>
    <t>Működési kiadások összesen</t>
  </si>
  <si>
    <t>K I A D Á S I  E L Ő I R Á N Y Z A T</t>
  </si>
  <si>
    <t>Kötelező feladatok:</t>
  </si>
  <si>
    <t>Zöldterület-kezelés</t>
  </si>
  <si>
    <t>Közfoglalkoztatás</t>
  </si>
  <si>
    <t>Művelődési tevékenység</t>
  </si>
  <si>
    <t>Köztemető fenntartás</t>
  </si>
  <si>
    <t>Kötelező feladatok összesen:</t>
  </si>
  <si>
    <t>Önként vállalt feladatok össz:</t>
  </si>
  <si>
    <t>Államigazgatási feladatok</t>
  </si>
  <si>
    <t>Óvodai ellátás</t>
  </si>
  <si>
    <t>Önkormányzat működési kiadásai összesen:</t>
  </si>
  <si>
    <t>Dusnoki Polgármesteri Hivatal költségvetésében:</t>
  </si>
  <si>
    <t>Kötelező feladatok összesen</t>
  </si>
  <si>
    <t>Mezőőri szolgáltatás</t>
  </si>
  <si>
    <t>Dusnok Önkormányzat saját költségvetésében:</t>
  </si>
  <si>
    <t>Jogalkotás</t>
  </si>
  <si>
    <t>Közvilágítás</t>
  </si>
  <si>
    <t>Feladat megnevezése</t>
  </si>
  <si>
    <t>Támogatások, kiegészítések</t>
  </si>
  <si>
    <t>B E V É T E L I   E L Ő I R Á N Y Z A T</t>
  </si>
  <si>
    <t>Központi költségvetés tám.</t>
  </si>
  <si>
    <t>Önként vállalt feladatok:</t>
  </si>
  <si>
    <t>Kötelező feladatok össz:</t>
  </si>
  <si>
    <t>Intézményfinanszírozás</t>
  </si>
  <si>
    <t>Polgármesteri Hivatal bevételei összesen:</t>
  </si>
  <si>
    <t xml:space="preserve">Kötelező feladatok: </t>
  </si>
  <si>
    <t>Óvodai nevelés</t>
  </si>
  <si>
    <t>Tb finanszírozás</t>
  </si>
  <si>
    <t>Kamat</t>
  </si>
  <si>
    <t>I. 1. a) Önkormányzati hivatal működésének támogatása - beszámítása után</t>
  </si>
  <si>
    <t xml:space="preserve">      I. 1. ba) A zöldterület-gazdálkodással kapcsolatos feladatok ellátásának támogatása </t>
  </si>
  <si>
    <t xml:space="preserve">      I. 1. bb) Közvilágítás fenntartásának támogatása</t>
  </si>
  <si>
    <t xml:space="preserve">      I. 1. bd) Közutak fenntartásának támogatása</t>
  </si>
  <si>
    <t>I. 1. c) - V. Egyéb önkormányzati feladatok támogatása - beszámítás után</t>
  </si>
  <si>
    <t>II. 2. Óvodaműködési támogatás</t>
  </si>
  <si>
    <t>III. 5. Gyermekétkeztetés támogatás</t>
  </si>
  <si>
    <t>II. 1. Óvodapedagógusok, és az óvodapedagógusok nevelő munkáját közvetlenül segítők bértámogatása</t>
  </si>
  <si>
    <t>K2.</t>
  </si>
  <si>
    <t>K1.</t>
  </si>
  <si>
    <t>Munkaadókat terhelő járulékok és szociális hozz. adó</t>
  </si>
  <si>
    <t>K3.</t>
  </si>
  <si>
    <t>K4.</t>
  </si>
  <si>
    <t>Ellátottak pénzbeni juttatásai</t>
  </si>
  <si>
    <t xml:space="preserve">    K42</t>
  </si>
  <si>
    <t>Családi támogatások</t>
  </si>
  <si>
    <t xml:space="preserve">    K46</t>
  </si>
  <si>
    <t xml:space="preserve">    K48</t>
  </si>
  <si>
    <t>Egyéb nem intézményi ellátások</t>
  </si>
  <si>
    <t>K5.</t>
  </si>
  <si>
    <t>Egyéb működési célú kiadások</t>
  </si>
  <si>
    <t>K6.</t>
  </si>
  <si>
    <t>K7.</t>
  </si>
  <si>
    <t>K8.</t>
  </si>
  <si>
    <t>Egyéb felhalmozási célú kiadások</t>
  </si>
  <si>
    <t>K9.</t>
  </si>
  <si>
    <t>Finanszírozási kiadások</t>
  </si>
  <si>
    <t>B1.</t>
  </si>
  <si>
    <t>Működési célú támogatások áh-n belülről</t>
  </si>
  <si>
    <t xml:space="preserve">Önkormányzatok működési támogatásai </t>
  </si>
  <si>
    <t>B2.</t>
  </si>
  <si>
    <t>Felhalmozási célú támogatások áh-n belülről</t>
  </si>
  <si>
    <t>B3.</t>
  </si>
  <si>
    <t>B35.</t>
  </si>
  <si>
    <t>Termékek és szolgáltatások adói</t>
  </si>
  <si>
    <t>B351</t>
  </si>
  <si>
    <t>Helyi iparűzési adó</t>
  </si>
  <si>
    <t>B354</t>
  </si>
  <si>
    <t>Gépjárműadók</t>
  </si>
  <si>
    <t>B36.</t>
  </si>
  <si>
    <t>Egyéb közhatalmi bevételek</t>
  </si>
  <si>
    <t>B4.</t>
  </si>
  <si>
    <t>B5.</t>
  </si>
  <si>
    <t>Felhalmozási bevételek</t>
  </si>
  <si>
    <t>B52</t>
  </si>
  <si>
    <t>Ingatlanok értékesítése</t>
  </si>
  <si>
    <t>B6.</t>
  </si>
  <si>
    <t>Működési célú átvett pénzeszközök</t>
  </si>
  <si>
    <t>Egyéb működési célú átvett pénzeszközök</t>
  </si>
  <si>
    <t>B7.</t>
  </si>
  <si>
    <t>Felhalmozási célú átvett pénzeszközök</t>
  </si>
  <si>
    <t>B25.</t>
  </si>
  <si>
    <t>Egyéb felhalmozási célú támogatások bevételei áh-n belülről</t>
  </si>
  <si>
    <t>Egyéb felhalmozási célú átvett pénzeszközök</t>
  </si>
  <si>
    <t>B8.</t>
  </si>
  <si>
    <t>Finanszírozási bevétel</t>
  </si>
  <si>
    <t>B813.</t>
  </si>
  <si>
    <t>Maradvány igénybevétele</t>
  </si>
  <si>
    <t>B1.-7.</t>
  </si>
  <si>
    <t>KÖLTSÉGVETÉSI BEVÉTELEK</t>
  </si>
  <si>
    <t>B816.</t>
  </si>
  <si>
    <t>Irányítószervi támogatás</t>
  </si>
  <si>
    <t>Lakhatással kapcsolatos ellátások</t>
  </si>
  <si>
    <t>Támogatás áh-n belülről</t>
  </si>
  <si>
    <t>Könyvtár</t>
  </si>
  <si>
    <t>Város és községgazdálkodás</t>
  </si>
  <si>
    <t>Szabadidő és sporttevékenység</t>
  </si>
  <si>
    <t>Televízió és műsorszolg</t>
  </si>
  <si>
    <t>Államigazgatási feladatok:</t>
  </si>
  <si>
    <t>17.</t>
  </si>
  <si>
    <t>Önkormányzatok elszámolásai</t>
  </si>
  <si>
    <t>Működési bevételek összesen</t>
  </si>
  <si>
    <t>Térítési díjak</t>
  </si>
  <si>
    <t>Egyéb tárgyi eszközök beszerzése, létesítése</t>
  </si>
  <si>
    <t>Ingatlanok felújítás</t>
  </si>
  <si>
    <t>III. 3. aa (2) 70000 fő lakosságszámig működési engedéllyel gyermekjóléti szolgálat</t>
  </si>
  <si>
    <t>III. 3. aa (1) 70000 fő lakosságszámig működési engedéllyel családsegítés</t>
  </si>
  <si>
    <t>III. 2. A települési önkormányzatok szociális feladatainak egyéb támogatása</t>
  </si>
  <si>
    <t xml:space="preserve">II. 1. (2) 1 óvodapedagógusok nevelő munkáját közvetlenül segítők száma a Köznev. Tv. 2. számú mellékelt </t>
  </si>
  <si>
    <t>I.1 d.) - Lakott külterülettel kapcsolatos feladatok támogatása</t>
  </si>
  <si>
    <t xml:space="preserve">      I. 1. bc) Köztemető fenntartásával kapcsolatos feladatok támogatása</t>
  </si>
  <si>
    <t>B401</t>
  </si>
  <si>
    <t>Készletértékesítés ellenértéke</t>
  </si>
  <si>
    <t>B402</t>
  </si>
  <si>
    <t>Szolgáltatások ellenértéke</t>
  </si>
  <si>
    <t>B403</t>
  </si>
  <si>
    <t>Közvetített szolgáltatások ellenértéke</t>
  </si>
  <si>
    <t>B405</t>
  </si>
  <si>
    <t>Ellátási díjak</t>
  </si>
  <si>
    <t>B406</t>
  </si>
  <si>
    <t>Kiszámlázott áfa</t>
  </si>
  <si>
    <t>B408</t>
  </si>
  <si>
    <t>Kamatbevételek</t>
  </si>
  <si>
    <t>Egyéb működési bevételek</t>
  </si>
  <si>
    <t>B4</t>
  </si>
  <si>
    <t>K1101</t>
  </si>
  <si>
    <t>Törvény szerinti illetmények, munkabérek</t>
  </si>
  <si>
    <t>K1106</t>
  </si>
  <si>
    <t>K1107</t>
  </si>
  <si>
    <t>Béren kívüli juttatások</t>
  </si>
  <si>
    <t>K1108</t>
  </si>
  <si>
    <t>Ruházati költségtérítés</t>
  </si>
  <si>
    <t>K1109</t>
  </si>
  <si>
    <t>Közlekedési költségtérítés</t>
  </si>
  <si>
    <t>K1110</t>
  </si>
  <si>
    <t>Egyéb költségtérítések</t>
  </si>
  <si>
    <t>K1113</t>
  </si>
  <si>
    <t>Foglalkoztatottak egyéb személyi juttatásai</t>
  </si>
  <si>
    <t>Foglalkoztatottak személyi juttatásai</t>
  </si>
  <si>
    <t>K121</t>
  </si>
  <si>
    <t>Választott tisztségviselők juttatásai</t>
  </si>
  <si>
    <t>K122</t>
  </si>
  <si>
    <t>K123</t>
  </si>
  <si>
    <t>Egyéb külső személyi juttatások</t>
  </si>
  <si>
    <t>Külső személyi juttatások</t>
  </si>
  <si>
    <t>K1</t>
  </si>
  <si>
    <t>K2</t>
  </si>
  <si>
    <t>Munkaadókat terhelő járulékok és szociális hozzájárulási adó</t>
  </si>
  <si>
    <t>K21</t>
  </si>
  <si>
    <t>K25</t>
  </si>
  <si>
    <t>Táppénz hozzájárulás</t>
  </si>
  <si>
    <t>K311</t>
  </si>
  <si>
    <t>Szakmai anyagok beszerzése</t>
  </si>
  <si>
    <t>K312</t>
  </si>
  <si>
    <t>Üzemeltetési anyagok beszerzése</t>
  </si>
  <si>
    <t>K31</t>
  </si>
  <si>
    <t>K321</t>
  </si>
  <si>
    <t>K322</t>
  </si>
  <si>
    <t>K32</t>
  </si>
  <si>
    <t>K331</t>
  </si>
  <si>
    <t>Közüzemi díjak</t>
  </si>
  <si>
    <t>K332</t>
  </si>
  <si>
    <t>K333</t>
  </si>
  <si>
    <t>K334</t>
  </si>
  <si>
    <t>K335</t>
  </si>
  <si>
    <t>Karbantartási és kisjavítási szolgáltatások</t>
  </si>
  <si>
    <t>Közvetített szolgáltatások</t>
  </si>
  <si>
    <t>K336</t>
  </si>
  <si>
    <t>Szakmai tevékenységet segítő szolgáltatások</t>
  </si>
  <si>
    <t>K337</t>
  </si>
  <si>
    <t>Egyéb szolgáltatások</t>
  </si>
  <si>
    <t>K33</t>
  </si>
  <si>
    <t>Szolgáltatási kiadások</t>
  </si>
  <si>
    <t>K341</t>
  </si>
  <si>
    <t>Kiküldetések kiadásai</t>
  </si>
  <si>
    <t>K34</t>
  </si>
  <si>
    <t>Kiküldetések, reklám és propagandakiadások</t>
  </si>
  <si>
    <t>K351</t>
  </si>
  <si>
    <t>Működési célú előzetesen felszámított áfa</t>
  </si>
  <si>
    <t>K352</t>
  </si>
  <si>
    <t>Fizetendő Áfa</t>
  </si>
  <si>
    <t>K353</t>
  </si>
  <si>
    <t>Kamatkiadások</t>
  </si>
  <si>
    <t>K355</t>
  </si>
  <si>
    <t>Egyéb dologi kiadások</t>
  </si>
  <si>
    <t>K35</t>
  </si>
  <si>
    <t>Különféle befizetések és egyéb dologi kiadások</t>
  </si>
  <si>
    <t>K3</t>
  </si>
  <si>
    <t>Rovatrend szerint:</t>
  </si>
  <si>
    <t>Működési célú tám áh-n belülről</t>
  </si>
  <si>
    <t>Felhalmozási célú tám. Áh.-n belülről</t>
  </si>
  <si>
    <t>Munkaadókat terhelő jár. és Szocho</t>
  </si>
  <si>
    <t>Informatikai szolgáltatások igénybevétele</t>
  </si>
  <si>
    <t>Közmunka</t>
  </si>
  <si>
    <t>Művház</t>
  </si>
  <si>
    <t xml:space="preserve">Piac </t>
  </si>
  <si>
    <t>Konyhakert</t>
  </si>
  <si>
    <t>Köztemető</t>
  </si>
  <si>
    <t>Zöldt. Kez</t>
  </si>
  <si>
    <t>Tv . Műsor</t>
  </si>
  <si>
    <t>Ing. Vagy. Gazd</t>
  </si>
  <si>
    <t>Igazgatási tev</t>
  </si>
  <si>
    <t>Önk. Rend</t>
  </si>
  <si>
    <t>Helytört. Kiá.</t>
  </si>
  <si>
    <t>Város és községgazd</t>
  </si>
  <si>
    <t>Szabadidő sport tám.</t>
  </si>
  <si>
    <t>B813 Maradvány igénybevétele</t>
  </si>
  <si>
    <t>B16.</t>
  </si>
  <si>
    <t>Egyéb működési célú tám áh.-n belülről</t>
  </si>
  <si>
    <t>Ing. Vagyon gazd</t>
  </si>
  <si>
    <t>Működési bevételek  összesen</t>
  </si>
  <si>
    <t>Önkormányzati rendezvények</t>
  </si>
  <si>
    <t>Önkormányzat működési bevétele összesen (1+2):</t>
  </si>
  <si>
    <t>Ing. Vagyon gazd.</t>
  </si>
  <si>
    <t>Rehabilitációs foglalkoztatás</t>
  </si>
  <si>
    <t xml:space="preserve">5. </t>
  </si>
  <si>
    <t>Helytörténeti kiállítás</t>
  </si>
  <si>
    <t xml:space="preserve">Irányítószervi támogatás </t>
  </si>
  <si>
    <t>II.4. A köznevelési intézmények működtetéséhez kapcsolódó támogatás</t>
  </si>
  <si>
    <t>K71 Ingatlanok felújítása</t>
  </si>
  <si>
    <t>COFOG</t>
  </si>
  <si>
    <t>04123*</t>
  </si>
  <si>
    <t>08209*</t>
  </si>
  <si>
    <t>013350</t>
  </si>
  <si>
    <t>047120</t>
  </si>
  <si>
    <t>013320</t>
  </si>
  <si>
    <t>066010</t>
  </si>
  <si>
    <t>083050</t>
  </si>
  <si>
    <t>064010</t>
  </si>
  <si>
    <t>011130</t>
  </si>
  <si>
    <t>081045</t>
  </si>
  <si>
    <t>066020</t>
  </si>
  <si>
    <t>066020 (21)</t>
  </si>
  <si>
    <t>K64 Egyéb tárgyieszköz beszerzése, létesítése</t>
  </si>
  <si>
    <t>086030</t>
  </si>
  <si>
    <t>Nemzetk. együttműködés</t>
  </si>
  <si>
    <t>Idősek nappali ellátása</t>
  </si>
  <si>
    <t>Piac</t>
  </si>
  <si>
    <t>Testvérkapcsolat</t>
  </si>
  <si>
    <t>K914</t>
  </si>
  <si>
    <t>Államháztartáson belüli megelőlegezések visszafizetése</t>
  </si>
  <si>
    <t>Költségvetési Kiadások</t>
  </si>
  <si>
    <t>K1.-8.</t>
  </si>
  <si>
    <t>K1.-9.</t>
  </si>
  <si>
    <t>B814</t>
  </si>
  <si>
    <t>Államháztartáson belüli megelőlegezések</t>
  </si>
  <si>
    <t>KÖLTSÉGVETÉSI KIADÁSOK</t>
  </si>
  <si>
    <t>B816</t>
  </si>
  <si>
    <t>KÖLTSÉGVETÉSI FŐÖSSZEG</t>
  </si>
  <si>
    <t>Irányítószervi támogatás (KORREKCIÓ)</t>
  </si>
  <si>
    <t>Tartalék</t>
  </si>
  <si>
    <t>B53</t>
  </si>
  <si>
    <t>Egyéb  tárgyi eszközök értékesítése</t>
  </si>
  <si>
    <t>B113 Szociális ágazati pótlék</t>
  </si>
  <si>
    <t>Rovat</t>
  </si>
  <si>
    <t>Elnevezés</t>
  </si>
  <si>
    <t>K502</t>
  </si>
  <si>
    <t>Elvonások és befizetések</t>
  </si>
  <si>
    <t>K508</t>
  </si>
  <si>
    <t>Működési célú visszatérítendő kölcsönök nyújtása áh-n kívülre</t>
  </si>
  <si>
    <t>B115 Szociális célú tüzifa</t>
  </si>
  <si>
    <t>Munk.véhz.-re irányuló egyéb jogviszonyban külsős díja</t>
  </si>
  <si>
    <t>Háziorvosi alapellátás</t>
  </si>
  <si>
    <t>Igazgatási tevékenység</t>
  </si>
  <si>
    <t>Informatikai eszközök beszerzése, létesítése</t>
  </si>
  <si>
    <t>B21</t>
  </si>
  <si>
    <t>Tárgyi eszközös értékesítése</t>
  </si>
  <si>
    <t>B25</t>
  </si>
  <si>
    <t>B65.</t>
  </si>
  <si>
    <t>Felhalmozási célú átvett pénzeszköz</t>
  </si>
  <si>
    <t>kontroll:</t>
  </si>
  <si>
    <t>Kontroll:</t>
  </si>
  <si>
    <t>Időskorúak nappali ellátása 102031</t>
  </si>
  <si>
    <t>Házi segítségnyújtás 107052</t>
  </si>
  <si>
    <t>Védőnői szolgálat 074031</t>
  </si>
  <si>
    <t>Gyermekjóléti szolgáltatás 104042</t>
  </si>
  <si>
    <t>Családsegítés 104042</t>
  </si>
  <si>
    <t>Szociális étkeztetés 107051</t>
  </si>
  <si>
    <t>Kiadások összesen (I+II+III)</t>
  </si>
  <si>
    <t>Igazgatási tevékenység 011130</t>
  </si>
  <si>
    <t>Konyha  096015</t>
  </si>
  <si>
    <t>Bölcsödei ellátás 104031</t>
  </si>
  <si>
    <t>K512</t>
  </si>
  <si>
    <t>K513</t>
  </si>
  <si>
    <t>B114 Kulturális illetménypótlék</t>
  </si>
  <si>
    <t>Személyi juttat.</t>
  </si>
  <si>
    <t>összesen:</t>
  </si>
  <si>
    <t>Csapadékvíz TOP 2.3.1</t>
  </si>
  <si>
    <t>Energetika TOP 3.2.1</t>
  </si>
  <si>
    <t>Óvoda felújítása TOP 1.4.1</t>
  </si>
  <si>
    <t>K7 összesen:</t>
  </si>
  <si>
    <t>K6 összesen :</t>
  </si>
  <si>
    <t>K6 és K7 összesen:</t>
  </si>
  <si>
    <t>B64</t>
  </si>
  <si>
    <t>B75.</t>
  </si>
  <si>
    <t>Rehab, nyári, erzsébet</t>
  </si>
  <si>
    <t>K506</t>
  </si>
  <si>
    <t>Működési célú visszatérítendő kölcsönök nyújtása áh-n belülre</t>
  </si>
  <si>
    <t xml:space="preserve">    K89</t>
  </si>
  <si>
    <t>Egyéb felhalmozási célú támogatások háztartásoknak</t>
  </si>
  <si>
    <t>nettó</t>
  </si>
  <si>
    <t>áfa</t>
  </si>
  <si>
    <t>KIADÁSOK ÖSSZESEN (mínusz a tartalék összeg):</t>
  </si>
  <si>
    <t>TE értékesítés</t>
  </si>
  <si>
    <t>K63 Informatikai eszközök beszerzése</t>
  </si>
  <si>
    <t>072111</t>
  </si>
  <si>
    <t>Konyha</t>
  </si>
  <si>
    <t>016080</t>
  </si>
  <si>
    <t>I.6. Polgármesteri illetmény támogatása</t>
  </si>
  <si>
    <t>I. 1. a) Önkormányzati hivatal működésének támogatása - elismert hivatali létszám alapján</t>
  </si>
  <si>
    <t>B411</t>
  </si>
  <si>
    <t>Polgármesteri Hivatal</t>
  </si>
  <si>
    <t>Dusnoki Óvoda és Bölcsőde</t>
  </si>
  <si>
    <t>B814.</t>
  </si>
  <si>
    <t>Megelőlegezés</t>
  </si>
  <si>
    <t>Dusnok Község Önkormányzata</t>
  </si>
  <si>
    <t>Gondozási Központ</t>
  </si>
  <si>
    <t>B64.</t>
  </si>
  <si>
    <t>Működési célú visszatérített támogatások</t>
  </si>
  <si>
    <t>K11</t>
  </si>
  <si>
    <t>K12</t>
  </si>
  <si>
    <t>Turisztika TOP 1.2.1</t>
  </si>
  <si>
    <t>Szociálpol. ellátások (K4+K5+K8-civilek)</t>
  </si>
  <si>
    <t>Kiadások összesen(I+II+III):</t>
  </si>
  <si>
    <t>Tartalék:</t>
  </si>
  <si>
    <t>K63</t>
  </si>
  <si>
    <t>K64</t>
  </si>
  <si>
    <t>K67</t>
  </si>
  <si>
    <t>K71</t>
  </si>
  <si>
    <t>K74</t>
  </si>
  <si>
    <t>K89</t>
  </si>
  <si>
    <t>Munkadót terhelő járulékok</t>
  </si>
  <si>
    <t>Központi költségvetési támogatás</t>
  </si>
  <si>
    <t>Sportegyesület</t>
  </si>
  <si>
    <t>Horgászegyesület</t>
  </si>
  <si>
    <t>Nem lakóingatlan üzem.</t>
  </si>
  <si>
    <t>Különbség:</t>
  </si>
  <si>
    <t>Értékesített TE., ingatlan</t>
  </si>
  <si>
    <t>III. 6. a (1) A finanszírozás szempontjából elismert szakmai dolgozók bértámogatása: felsőfokú végzettségű kisgyermeknevelők, szaktanácsadók</t>
  </si>
  <si>
    <t>III. 6. a (2) A finanszírozás szempontjából elismert szakmai dolgozók bértámogatása: bölcsődei dajkák, középfokú végzettségű kisgyermeknevelők, szaktanácsadók</t>
  </si>
  <si>
    <t>III.6. (b) Bölcsődei üzemeltetési támogatás</t>
  </si>
  <si>
    <t>2020</t>
  </si>
  <si>
    <t>2021</t>
  </si>
  <si>
    <t>2022</t>
  </si>
  <si>
    <t>Helyi identitás TOP-5.3.1.</t>
  </si>
  <si>
    <t>Sorszám</t>
  </si>
  <si>
    <t>Létszám</t>
  </si>
  <si>
    <t>Támog.ért.kiad.és pénzeszk. átadások</t>
  </si>
  <si>
    <t xml:space="preserve">Mezőgazdasági elkerülőút VP-6.7.2.1-7.4.1.2-16 </t>
  </si>
  <si>
    <t>Támogatásértékű és működési célra átvett</t>
  </si>
  <si>
    <t>Mezei őrszolgálat működtetése</t>
  </si>
  <si>
    <t>Gondozási Központ bevételei összesen:</t>
  </si>
  <si>
    <t>Gondozási Központ költségvetésében:</t>
  </si>
  <si>
    <t>Óvoda és Bölcsőde bevételei összesen:</t>
  </si>
  <si>
    <t>B1631 Bursa visszatérítés</t>
  </si>
  <si>
    <t>B1632 Mezőőri támogatás</t>
  </si>
  <si>
    <t xml:space="preserve">B1634 Oep támogatás </t>
  </si>
  <si>
    <t>B1635 Nyári diákmunka</t>
  </si>
  <si>
    <t>B1636 Helyi önk. költségetési szervétől kapott működési célú támogatás</t>
  </si>
  <si>
    <t>B1638 Támogatás nemzetiségi önkormányzattól</t>
  </si>
  <si>
    <t>Április</t>
  </si>
  <si>
    <t>Szeptember</t>
  </si>
  <si>
    <t>November</t>
  </si>
  <si>
    <t>December</t>
  </si>
  <si>
    <t>III.3. a) III.3.b) + III.3.n) Egyes szociális és gyermekjóléti feladatok támogatása - család és gyermekjóléti szolgálat/központ</t>
  </si>
  <si>
    <t xml:space="preserve"> III.3.c)-III.3.m) Egyes szociális és gyermekjóléti feladatok támogatása - család és gyermekjóléti szolgálat/központ kivételével</t>
  </si>
  <si>
    <t xml:space="preserve">      III.5.aa) A finanszírozás szempontjából elismert dolgozók bértámogatása</t>
  </si>
  <si>
    <t xml:space="preserve">     III. 5. ab) Gyermekétkeztetés üzemeltetési támogatása</t>
  </si>
  <si>
    <t xml:space="preserve"> III.5.b) A rászoruló gyermekek intézményen kívüli szünidei étkeztetésének támogatása</t>
  </si>
  <si>
    <t>III. 6. Bölcsőde, mini bölcsőde támogatása</t>
  </si>
  <si>
    <t>II. 4. Kiegészítő támogatás a pedagógusok és a pedagógus szakképzettséggel rendelkező segítők minősítéséből adódó többletkiadásokhoz</t>
  </si>
  <si>
    <t>Egyéb működési célú támogatások áh.-n kívülre</t>
  </si>
  <si>
    <t>Pénzbeli támogatás (gyermekvédelmi)</t>
  </si>
  <si>
    <t>Nyári diákmunka (fő)</t>
  </si>
  <si>
    <t>Útfejújítás, tervezés JETA-98-2018</t>
  </si>
  <si>
    <t>Művelődési ház felújítása JETA-97-2018</t>
  </si>
  <si>
    <t>Közmunka tárgyi eszköz beszerzések</t>
  </si>
  <si>
    <t>B2 és B7 összesen:</t>
  </si>
  <si>
    <t>Orvosi eszköz (fogorvosi szék) MFP-AEE/2019</t>
  </si>
  <si>
    <t>Január</t>
  </si>
  <si>
    <t>Február</t>
  </si>
  <si>
    <t>Március</t>
  </si>
  <si>
    <t>Május</t>
  </si>
  <si>
    <t>Június</t>
  </si>
  <si>
    <t>Július</t>
  </si>
  <si>
    <t>Augusztus</t>
  </si>
  <si>
    <t>Október</t>
  </si>
  <si>
    <t>Kontroll</t>
  </si>
  <si>
    <t>K67 Beruházási célú előzetesen felszámított áfa</t>
  </si>
  <si>
    <t>Arany J. u. útburkolat felújítás MFP</t>
  </si>
  <si>
    <t xml:space="preserve">Útfejújítás, tervezés JETA-98-2018 </t>
  </si>
  <si>
    <t>Hunyadi u. felújítás BM</t>
  </si>
  <si>
    <t>Ebből EU-s forrás (TOP):</t>
  </si>
  <si>
    <t>K74 Felújítási célú előzetesen felszámított áfa</t>
  </si>
  <si>
    <t xml:space="preserve">B25. Felhalm.célú tám. Áh-n belülről (TOP, MFP, VP)
</t>
  </si>
  <si>
    <t>B75. Felhalm. célú tám. civil szervezettől (JETA)</t>
  </si>
  <si>
    <t xml:space="preserve">B21. Felhalm. célú tám. Áh-n belülről (BM)
</t>
  </si>
  <si>
    <t>Civil szervek, vállalkozások támogatása</t>
  </si>
  <si>
    <t>Dusnoki Polgármesteri Hivatal költségvetésében</t>
  </si>
  <si>
    <t>Dusnok Önkormányzat saját költségvetésében</t>
  </si>
  <si>
    <t>Dusnoki Polgármesteri Hivatal</t>
  </si>
  <si>
    <t>2020. évi eredeti költségvetés</t>
  </si>
  <si>
    <t>2020. évre</t>
  </si>
  <si>
    <t>2023</t>
  </si>
  <si>
    <t>Az Önkormányzat 2020. évre tervezett közvetlen és közvetett támogatásairól</t>
  </si>
  <si>
    <t>előirányzat-felhasználási ütemterve 2020. évre</t>
  </si>
  <si>
    <t>előirányzat-felhasználási ütemterv 2020. évre</t>
  </si>
  <si>
    <t>Költségvetési kiadások terve intézményi szinten</t>
  </si>
  <si>
    <t>Dologi kiadások összesen</t>
  </si>
  <si>
    <t>Dologi kiadások tervezése intézményi szinten</t>
  </si>
  <si>
    <t>Személyi juttatások tervezése intézményi szinten</t>
  </si>
  <si>
    <t>Szociális hozzájárulási adó (Közmunka)</t>
  </si>
  <si>
    <t>Törvény szerinti illetmények, munkabérek (Közmunka)</t>
  </si>
  <si>
    <t>Működési bevételek terve intézményi szinten</t>
  </si>
  <si>
    <t xml:space="preserve"> 2020. évi Normatív támogatások</t>
  </si>
  <si>
    <t>Működési c. visszatérített tám.</t>
  </si>
  <si>
    <t>K6 összesen:</t>
  </si>
  <si>
    <t>B7 összesen:</t>
  </si>
  <si>
    <t>B2 összesen:</t>
  </si>
  <si>
    <t>2020. évi felújítások, beruházások terve</t>
  </si>
  <si>
    <t>2.999.999 Ft + 1.500.000 Ft</t>
  </si>
  <si>
    <t>Óvoda és Bölcsőde</t>
  </si>
  <si>
    <t xml:space="preserve">Megnevezés </t>
  </si>
  <si>
    <t>Ravatalozó felújítás II. ütem JETA-83-2019</t>
  </si>
  <si>
    <t>Az önkormányzat és költségvetési szervei 2020. évi költségvetésének tervezett működési bevételei előirányzat-csoportonként, kiemelt kötelező, önként vállalt és államigazgatási feladatok szerinti bontásban</t>
  </si>
  <si>
    <t>Költségvetési egyesített kiadások terve 2020. évre</t>
  </si>
  <si>
    <t xml:space="preserve">Az önkormányzat és költségvetési szervei 2020. évi költségvetésének tervezett működési kiadásai,  </t>
  </si>
  <si>
    <t>Mezőőr+    konyhakert</t>
  </si>
  <si>
    <t>Kiemelt     rend.</t>
  </si>
  <si>
    <t>Az Önkormányzat 2020. évi dologi kiadásainak részletezése feladatok szerint</t>
  </si>
  <si>
    <t>Különbözet:</t>
  </si>
  <si>
    <t>Munkaadókat terhelő jár. és szochó</t>
  </si>
  <si>
    <t>Dusnok Község Önkormányzata 2020. évi költségvetése                                Több éves kihatással járó döntések</t>
  </si>
  <si>
    <t xml:space="preserve">TOP-1.4.1-19 Bölcsődei férőhelyek kialakítása </t>
  </si>
  <si>
    <t>B111</t>
  </si>
  <si>
    <t>B112</t>
  </si>
  <si>
    <t>B113</t>
  </si>
  <si>
    <t>B114</t>
  </si>
  <si>
    <t>B115</t>
  </si>
  <si>
    <t>B116</t>
  </si>
  <si>
    <t>Helyi Önk. működésének támogatása</t>
  </si>
  <si>
    <t>Köznevelési és gyermekétkeztetési feladatok támogatása</t>
  </si>
  <si>
    <t>Szociális és gyermekjóléti feladatok támogatása</t>
  </si>
  <si>
    <t>Könyvtári és közművelődési feladatok támogatása</t>
  </si>
  <si>
    <t>Működési célú költségvetési támogatások (Szoc. tüzelőanyag)</t>
  </si>
  <si>
    <t>Elszámolásból származó bevételek</t>
  </si>
  <si>
    <t>B11</t>
  </si>
  <si>
    <t>IV. KÖNYVTÁRI ÉS KÖZMŰVELŐDÉSI FELADATOK TÁMOGATÁSA</t>
  </si>
  <si>
    <t>IV. 1. Könyvtári és közművelődési feladatok</t>
  </si>
  <si>
    <t xml:space="preserve">MINDÖSSZESEN (I. + II. + III. + IV.) /B11./ </t>
  </si>
  <si>
    <t>Kontroll bevétel:</t>
  </si>
  <si>
    <t xml:space="preserve">Kontroll bevétel: </t>
  </si>
  <si>
    <t>Szociális hozzájárulási adó (Választott tisztségviselők)</t>
  </si>
  <si>
    <t>Arany János ösztöndíj program</t>
  </si>
  <si>
    <t>Kiskert program vetőmag csomag</t>
  </si>
  <si>
    <t>Egyéb</t>
  </si>
  <si>
    <t>B1635 Bács-Kiskun megyei munkaügyi központ támogatása (közmunka bér + tárgyi eszköz)</t>
  </si>
  <si>
    <t>B16. EGYÉB MŰKÖDÉSI CÉLÚ TÁMOGATÁSOK ÁH-N BELÜLRŐL</t>
  </si>
  <si>
    <t>Felosztott</t>
  </si>
  <si>
    <t>Dusnoki Óvoda és Bölcsőde költségvetésében:</t>
  </si>
  <si>
    <t>K42</t>
  </si>
  <si>
    <t>K46</t>
  </si>
  <si>
    <t>K48</t>
  </si>
  <si>
    <t xml:space="preserve"> K915</t>
  </si>
  <si>
    <t>K1.- K8.</t>
  </si>
  <si>
    <t>Gondozási Központ költségvetésében</t>
  </si>
  <si>
    <t>Dusnoki Óvoda és Bölcsőde költségvetésében</t>
  </si>
  <si>
    <t>1 fő</t>
  </si>
  <si>
    <t>B1632 Központi kezelésű előirányzattól kapott működési célú támogatás</t>
  </si>
  <si>
    <t>B1631 Központi költségvetési szervtől kapott működési célú támogatás</t>
  </si>
  <si>
    <t>B1635 Elkülönített állami pénzalaptól kapott működési célú támogatás</t>
  </si>
  <si>
    <t>B113 Települési önkormányzat szocális feladatainak támogatása</t>
  </si>
  <si>
    <t>B114 Települési önkormányzat kulturális feladatainak támogatása</t>
  </si>
  <si>
    <t>B115  Települési önkormányzat kiegészítő támogatása</t>
  </si>
  <si>
    <t>I. A HELYI ÖNKORMÁNYZAT MŰKÖDÉSÉNEK ÁLTALÁNOS TÁMOGATÁSA</t>
  </si>
  <si>
    <t>III. A TELEPÜLÉSI ÖNKORMÁNYZAT SZOCIÁLIS, GYERMEKJÓLÉTI (BÖLCSŐDEI) ÉS GYERMEKÉTKEZETÉSI FELADATAINAK TÁMOGATÁSA</t>
  </si>
  <si>
    <t>Dusnok Község Önkormányzat 2020. évi összevont költségvetési mérlege</t>
  </si>
  <si>
    <t>B111 Helyi önkormányzat működésének általános támogatása</t>
  </si>
  <si>
    <t>B1123 Köznevelési feladatok kiegészítő támogatása</t>
  </si>
  <si>
    <t>B1113 Önkormányzati hivatal működésének kiegészítő támogatása</t>
  </si>
  <si>
    <t>B113 Települési önkormányzat köznevelési feladatainak támogatása</t>
  </si>
  <si>
    <t>B11323 Intézményi gyermekétkeztetés kiegészítő támogatása</t>
  </si>
  <si>
    <t>B11313 Család és gyermekjóléti szolgálat, bölcsőde kiegészítő támogatása</t>
  </si>
  <si>
    <t>B1143 Közművelődési feladatok kiegészítő támogatása</t>
  </si>
  <si>
    <t>B11313 Bölcsőde illetményhez kapcsolódó kiegészítő bértámogatása</t>
  </si>
  <si>
    <t>MFP-BJA/2020 Járda építés Dusnokon</t>
  </si>
  <si>
    <t>B1634 Társadalombiztosítás pénzügyi alapjaitól kapott működési célú támogatás</t>
  </si>
  <si>
    <t>Törvény szerinti illetmények, munkabérek (Nyári diákmunka)</t>
  </si>
  <si>
    <t>Szociális hozzájárulási adó (Nyári diákmunka)</t>
  </si>
  <si>
    <t xml:space="preserve">    K84.</t>
  </si>
  <si>
    <t>Egyéb felhalmozási célú támogatások államháztartáson belülre</t>
  </si>
  <si>
    <t xml:space="preserve">   K51235</t>
  </si>
  <si>
    <t xml:space="preserve">Lakhatással kapcs. ellátások </t>
  </si>
  <si>
    <t>Egyéb, önk. rend. meghatározott juttatás</t>
  </si>
  <si>
    <t>Egyéb működési célú támogatásáh.-n kívülre</t>
  </si>
  <si>
    <t>Beruházási célú előzetesen felsz. áfa</t>
  </si>
  <si>
    <t>Felújítási célú előzetesen felsz. áfa</t>
  </si>
  <si>
    <t>Áh.-n belüli megelőlegezések visszafizetése</t>
  </si>
  <si>
    <t>Önkormányzat / Polgármesteri Hivatal / Óvoda és Bölcsőde / Gondozási Központ</t>
  </si>
  <si>
    <t>Egyéb felhalm. célú támogatások áh-n kívülre</t>
  </si>
  <si>
    <t>K84.</t>
  </si>
  <si>
    <t>Egyéb felhalm. célú támogatások áh-n belülre</t>
  </si>
  <si>
    <t>B1634 Egészségügyi dolgozók egyszeri juttatása</t>
  </si>
  <si>
    <t xml:space="preserve">Mg.-i elkerülőút VP-6.7.2.1-7.4.1.2-16                                  </t>
  </si>
  <si>
    <t xml:space="preserve">Turisztika TOP 1.2.1 </t>
  </si>
  <si>
    <t xml:space="preserve">Hunyadi u. felújítás BM </t>
  </si>
  <si>
    <t>Teljes összeg megérkezett 2019-ben!</t>
  </si>
  <si>
    <t>Teljes összeg megérkezett 2018-ban!</t>
  </si>
  <si>
    <t>Térfigyelő kamerarendszer MVH 1927 855 337</t>
  </si>
  <si>
    <t>Bevétel várható 2020-ban!</t>
  </si>
  <si>
    <t>Teljes összeg megérkezett 2017-ben!</t>
  </si>
  <si>
    <t>Részösszeg érkezett 2019-ben!</t>
  </si>
  <si>
    <t>Teljes összeg megérkezett 2020-ban!</t>
  </si>
  <si>
    <t>Részösszeg érkezett 2020-ban!</t>
  </si>
  <si>
    <t>Zarándokút egyesületi tagdíj hozzájárulás</t>
  </si>
  <si>
    <t>Civil szervezetek részére tervezett támogatások részletezése</t>
  </si>
  <si>
    <t>Műk. c. visszatérítendő kölcsön áh-n kívülre</t>
  </si>
  <si>
    <t>Egyéb civil szervezeteknek nyújtott támogatások</t>
  </si>
  <si>
    <t>Önkormányzat / Polgármesteri Hivatal /                  Óvoda és Bölcsőde / Gondozási Központ</t>
  </si>
  <si>
    <t xml:space="preserve">Költségvetési egyesített bevételek terve </t>
  </si>
  <si>
    <t>B11. ÖNKORMÁNYZAT MŰKÖDÉSI CÉLÚ TÁMOGATÁSAI ÁH-N BELÜL</t>
  </si>
  <si>
    <t>II. A TELEPÜLÉSI ÖNK. KÖZNEVELÉSI FELADATAINAK TÁMOGATÁSA</t>
  </si>
  <si>
    <t>B116 Elszámolásból származó bevételek</t>
  </si>
  <si>
    <t>TOP-1.4.1-19 Bölcsődei férőhelyek kialakítása ( felújítás + eszközök 1,5 mó)</t>
  </si>
  <si>
    <t>Térfigyelő kamerarendszer kiépítése                 MVH 1927 855 337</t>
  </si>
  <si>
    <t>Művelődési ház felújítása JETA-97-2018             (felújítás + eszközök 2 mó)</t>
  </si>
  <si>
    <t>B1638 Nemzetiségi önk.-tól és költségvetési szervétől kapott működési célú támogatás</t>
  </si>
  <si>
    <t>Működési célú előzetesen felsz. áfa</t>
  </si>
  <si>
    <t xml:space="preserve">Részösszeg érkezett 2019-ben és 2020-ban! </t>
  </si>
  <si>
    <t xml:space="preserve">     K51231</t>
  </si>
  <si>
    <t xml:space="preserve">     K51232</t>
  </si>
  <si>
    <t xml:space="preserve">     K51233</t>
  </si>
  <si>
    <t>Informatikai eszközök beszerzése</t>
  </si>
  <si>
    <t>Egyéb tárgyieszköz beszerzése, létesítése</t>
  </si>
  <si>
    <t>Beruházási célú előzetesen felszámított áfa</t>
  </si>
  <si>
    <t>B1113 A költségvetési szerveknél foglalkoztatott 2019. évi áthúzódó és 2020. évi kompenzációja</t>
  </si>
  <si>
    <t xml:space="preserve">  K63</t>
  </si>
  <si>
    <t xml:space="preserve">  K64</t>
  </si>
  <si>
    <t xml:space="preserve">  K67</t>
  </si>
  <si>
    <t xml:space="preserve">  K71</t>
  </si>
  <si>
    <t xml:space="preserve">  K74</t>
  </si>
  <si>
    <t xml:space="preserve">  K914</t>
  </si>
  <si>
    <t xml:space="preserve">  K915</t>
  </si>
  <si>
    <t>K1103</t>
  </si>
  <si>
    <t>Céljuttatás, projektprémium</t>
  </si>
  <si>
    <t>Szociális hozzájárulási adó (jut.)</t>
  </si>
  <si>
    <t>Egyéb gépek, berendezések beszerzése (Óvoda és Gondozási Kp.)</t>
  </si>
  <si>
    <t>Egyéb informatikai eszkök beszerzés (Polgármesteri Hivatal)</t>
  </si>
  <si>
    <t>Szociális hozzájárulási adó (Jut.)</t>
  </si>
  <si>
    <t xml:space="preserve">Üzemeltetési anyagok beszerzése </t>
  </si>
  <si>
    <t xml:space="preserve">Egyéb szolgáltatások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</si>
</sst>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\ &quot;Ft&quot;"/>
    <numFmt numFmtId="165" formatCode="#&quot; &quot;\f\ő"/>
  </numFmts>
  <fonts count="9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3"/>
      <name val="Arial"/>
      <family val="2"/>
      <charset val="238"/>
    </font>
    <font>
      <b/>
      <i/>
      <u/>
      <sz val="14"/>
      <name val="Arial"/>
      <family val="2"/>
      <charset val="238"/>
    </font>
    <font>
      <i/>
      <u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 tint="0.2499465926084170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sz val="7"/>
      <name val="Arial"/>
      <family val="2"/>
      <charset val="238"/>
    </font>
    <font>
      <sz val="12"/>
      <color theme="1" tint="0.2499465926084170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3F3F76"/>
      <name val="Calibri"/>
      <family val="2"/>
      <charset val="238"/>
      <scheme val="minor"/>
    </font>
    <font>
      <b/>
      <sz val="12"/>
      <color rgb="FFFA7D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3"/>
      <color theme="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rgb="FFB2B2B2"/>
      </left>
      <right/>
      <top style="thin">
        <color rgb="FFB2B2B2"/>
      </top>
      <bottom/>
      <diagonal/>
    </border>
    <border>
      <left style="thin">
        <color rgb="FFB2B2B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164" fontId="70" fillId="19" borderId="5" applyAlignment="0" applyProtection="0"/>
    <xf numFmtId="0" fontId="67" fillId="18" borderId="6" applyNumberFormat="0" applyAlignment="0" applyProtection="0"/>
    <xf numFmtId="164" fontId="67" fillId="17" borderId="1" applyAlignment="0" applyProtection="0"/>
    <xf numFmtId="0" fontId="47" fillId="4" borderId="7" applyNumberFormat="0" applyFont="0" applyAlignment="0" applyProtection="0"/>
    <xf numFmtId="0" fontId="64" fillId="5" borderId="0" applyNumberFormat="0" applyBorder="0" applyAlignment="0" applyProtection="0"/>
    <xf numFmtId="0" fontId="42" fillId="0" borderId="0"/>
    <xf numFmtId="164" fontId="67" fillId="6" borderId="5" applyAlignment="0" applyProtection="0"/>
    <xf numFmtId="49" fontId="36" fillId="8" borderId="7">
      <alignment horizontal="left" vertical="center" wrapText="1"/>
    </xf>
    <xf numFmtId="49" fontId="37" fillId="6" borderId="7">
      <alignment horizontal="left" vertical="center" wrapText="1"/>
    </xf>
    <xf numFmtId="49" fontId="68" fillId="9" borderId="1">
      <alignment horizontal="center" vertical="center"/>
    </xf>
    <xf numFmtId="49" fontId="67" fillId="10" borderId="7">
      <alignment horizontal="left" vertical="center" wrapText="1"/>
    </xf>
    <xf numFmtId="43" fontId="78" fillId="0" borderId="0" applyFont="0" applyFill="0" applyBorder="0" applyAlignment="0" applyProtection="0"/>
  </cellStyleXfs>
  <cellXfs count="698">
    <xf numFmtId="0" fontId="0" fillId="0" borderId="0" xfId="0"/>
    <xf numFmtId="0" fontId="39" fillId="0" borderId="0" xfId="0" applyFont="1"/>
    <xf numFmtId="0" fontId="40" fillId="0" borderId="0" xfId="0" applyFont="1"/>
    <xf numFmtId="0" fontId="42" fillId="0" borderId="0" xfId="0" applyFont="1"/>
    <xf numFmtId="0" fontId="42" fillId="0" borderId="0" xfId="8"/>
    <xf numFmtId="0" fontId="39" fillId="0" borderId="0" xfId="8" applyFont="1"/>
    <xf numFmtId="0" fontId="45" fillId="0" borderId="0" xfId="0" applyFont="1"/>
    <xf numFmtId="0" fontId="52" fillId="0" borderId="0" xfId="0" applyFont="1"/>
    <xf numFmtId="0" fontId="53" fillId="0" borderId="0" xfId="0" applyFont="1"/>
    <xf numFmtId="0" fontId="54" fillId="0" borderId="0" xfId="0" applyFont="1"/>
    <xf numFmtId="0" fontId="41" fillId="0" borderId="0" xfId="0" applyFont="1" applyAlignment="1">
      <alignment horizontal="center"/>
    </xf>
    <xf numFmtId="0" fontId="49" fillId="0" borderId="0" xfId="8" applyFont="1" applyAlignment="1">
      <alignment horizontal="right" vertical="top" wrapText="1"/>
    </xf>
    <xf numFmtId="0" fontId="51" fillId="0" borderId="0" xfId="8" applyFont="1" applyAlignment="1">
      <alignment horizontal="right" vertical="top" wrapText="1"/>
    </xf>
    <xf numFmtId="0" fontId="50" fillId="0" borderId="0" xfId="8" applyFont="1" applyAlignment="1">
      <alignment horizontal="right" vertical="top" wrapText="1"/>
    </xf>
    <xf numFmtId="0" fontId="44" fillId="0" borderId="0" xfId="8" applyFont="1" applyAlignment="1">
      <alignment horizontal="justify"/>
    </xf>
    <xf numFmtId="164" fontId="0" fillId="0" borderId="0" xfId="0" applyNumberFormat="1"/>
    <xf numFmtId="164" fontId="42" fillId="0" borderId="0" xfId="0" applyNumberFormat="1" applyFont="1"/>
    <xf numFmtId="0" fontId="55" fillId="0" borderId="0" xfId="0" applyFont="1"/>
    <xf numFmtId="0" fontId="58" fillId="0" borderId="0" xfId="0" applyFont="1"/>
    <xf numFmtId="0" fontId="57" fillId="0" borderId="0" xfId="0" applyFont="1"/>
    <xf numFmtId="0" fontId="56" fillId="0" borderId="0" xfId="0" applyFont="1"/>
    <xf numFmtId="0" fontId="60" fillId="0" borderId="0" xfId="0" applyFont="1"/>
    <xf numFmtId="0" fontId="59" fillId="0" borderId="0" xfId="0" applyFont="1"/>
    <xf numFmtId="0" fontId="61" fillId="0" borderId="0" xfId="0" applyFont="1"/>
    <xf numFmtId="0" fontId="50" fillId="0" borderId="0" xfId="8" applyFont="1" applyAlignment="1">
      <alignment vertical="top" wrapText="1"/>
    </xf>
    <xf numFmtId="0" fontId="50" fillId="0" borderId="0" xfId="8" applyFont="1" applyAlignment="1">
      <alignment horizontal="center" vertical="top" wrapText="1"/>
    </xf>
    <xf numFmtId="0" fontId="64" fillId="0" borderId="0" xfId="7" applyFill="1" applyAlignment="1">
      <alignment vertical="top" wrapText="1"/>
    </xf>
    <xf numFmtId="0" fontId="64" fillId="0" borderId="0" xfId="7" applyFill="1" applyAlignment="1">
      <alignment horizontal="center" vertical="top" wrapText="1"/>
    </xf>
    <xf numFmtId="3" fontId="67" fillId="0" borderId="0" xfId="4" applyNumberFormat="1" applyFill="1" applyBorder="1" applyAlignment="1">
      <alignment horizontal="right" vertical="top" wrapText="1"/>
    </xf>
    <xf numFmtId="0" fontId="67" fillId="0" borderId="0" xfId="4" applyFill="1" applyBorder="1" applyAlignment="1">
      <alignment horizontal="right" vertical="top" wrapText="1"/>
    </xf>
    <xf numFmtId="0" fontId="50" fillId="0" borderId="0" xfId="0" applyFont="1" applyAlignment="1">
      <alignment vertical="top" wrapText="1"/>
    </xf>
    <xf numFmtId="0" fontId="50" fillId="0" borderId="0" xfId="0" applyFont="1" applyAlignment="1">
      <alignment horizontal="right" vertical="top" wrapText="1"/>
    </xf>
    <xf numFmtId="164" fontId="67" fillId="0" borderId="0" xfId="9" applyFill="1" applyBorder="1" applyAlignment="1">
      <alignment horizontal="right" vertical="top" wrapText="1"/>
    </xf>
    <xf numFmtId="0" fontId="48" fillId="0" borderId="0" xfId="0" applyFont="1" applyAlignment="1">
      <alignment wrapText="1"/>
    </xf>
    <xf numFmtId="0" fontId="63" fillId="0" borderId="0" xfId="2" applyFill="1" applyAlignment="1">
      <alignment horizontal="center" vertical="top" wrapText="1"/>
    </xf>
    <xf numFmtId="0" fontId="63" fillId="0" borderId="0" xfId="2" applyFill="1" applyAlignment="1">
      <alignment vertical="top" wrapText="1"/>
    </xf>
    <xf numFmtId="0" fontId="63" fillId="0" borderId="0" xfId="2" applyFill="1" applyAlignment="1">
      <alignment horizontal="right" vertical="top" wrapText="1"/>
    </xf>
    <xf numFmtId="164" fontId="67" fillId="6" borderId="5" xfId="9" applyAlignment="1">
      <alignment horizontal="right" vertical="top" wrapText="1"/>
    </xf>
    <xf numFmtId="0" fontId="63" fillId="0" borderId="0" xfId="6" applyFont="1" applyFill="1" applyBorder="1" applyAlignment="1">
      <alignment horizontal="left"/>
    </xf>
    <xf numFmtId="0" fontId="63" fillId="0" borderId="0" xfId="6" applyFont="1" applyFill="1" applyBorder="1"/>
    <xf numFmtId="0" fontId="41" fillId="0" borderId="0" xfId="6" applyFont="1" applyFill="1" applyBorder="1" applyAlignment="1">
      <alignment horizontal="center"/>
    </xf>
    <xf numFmtId="49" fontId="37" fillId="6" borderId="7" xfId="11">
      <alignment horizontal="left" vertical="center" wrapText="1"/>
    </xf>
    <xf numFmtId="164" fontId="70" fillId="19" borderId="1" xfId="3" applyBorder="1"/>
    <xf numFmtId="164" fontId="67" fillId="0" borderId="0" xfId="9" applyFill="1" applyBorder="1"/>
    <xf numFmtId="49" fontId="68" fillId="0" borderId="9" xfId="12" applyFill="1" applyBorder="1">
      <alignment horizontal="center" vertical="center"/>
    </xf>
    <xf numFmtId="49" fontId="36" fillId="8" borderId="1" xfId="10" applyBorder="1">
      <alignment horizontal="left" vertical="center" wrapText="1"/>
    </xf>
    <xf numFmtId="49" fontId="67" fillId="10" borderId="1" xfId="13" applyBorder="1">
      <alignment horizontal="left" vertical="center" wrapText="1"/>
    </xf>
    <xf numFmtId="49" fontId="68" fillId="0" borderId="0" xfId="12" applyFill="1" applyBorder="1" applyAlignment="1">
      <alignment horizontal="center" vertical="center" wrapText="1"/>
    </xf>
    <xf numFmtId="164" fontId="67" fillId="17" borderId="1" xfId="5" applyAlignment="1">
      <alignment horizontal="right" vertical="top" wrapText="1"/>
    </xf>
    <xf numFmtId="164" fontId="67" fillId="6" borderId="1" xfId="9" applyBorder="1" applyAlignment="1">
      <alignment horizontal="right" vertical="top" wrapText="1"/>
    </xf>
    <xf numFmtId="164" fontId="67" fillId="16" borderId="1" xfId="9" applyFill="1" applyBorder="1" applyAlignment="1">
      <alignment horizontal="right" vertical="top" wrapText="1"/>
    </xf>
    <xf numFmtId="164" fontId="70" fillId="19" borderId="1" xfId="3" applyBorder="1" applyAlignment="1">
      <alignment horizontal="right" vertical="top" wrapText="1"/>
    </xf>
    <xf numFmtId="164" fontId="67" fillId="6" borderId="1" xfId="9" applyBorder="1" applyAlignment="1">
      <alignment horizontal="center" vertical="center" wrapText="1"/>
    </xf>
    <xf numFmtId="164" fontId="70" fillId="19" borderId="1" xfId="3" applyBorder="1" applyAlignment="1">
      <alignment horizontal="right" vertical="center" wrapText="1"/>
    </xf>
    <xf numFmtId="164" fontId="67" fillId="18" borderId="6" xfId="4" applyNumberFormat="1"/>
    <xf numFmtId="49" fontId="35" fillId="8" borderId="1" xfId="10" applyFont="1" applyBorder="1">
      <alignment horizontal="left" vertical="center" wrapText="1"/>
    </xf>
    <xf numFmtId="165" fontId="67" fillId="17" borderId="1" xfId="5" applyNumberFormat="1" applyAlignment="1">
      <alignment horizontal="center" vertical="top" wrapText="1"/>
    </xf>
    <xf numFmtId="165" fontId="70" fillId="19" borderId="1" xfId="3" applyNumberFormat="1" applyBorder="1" applyAlignment="1">
      <alignment horizontal="center" vertical="center" wrapText="1"/>
    </xf>
    <xf numFmtId="49" fontId="37" fillId="6" borderId="4" xfId="11" applyBorder="1">
      <alignment horizontal="left" vertical="center" wrapText="1"/>
    </xf>
    <xf numFmtId="165" fontId="67" fillId="6" borderId="1" xfId="9" applyNumberFormat="1" applyBorder="1" applyAlignment="1">
      <alignment horizontal="center" vertical="center" wrapText="1"/>
    </xf>
    <xf numFmtId="165" fontId="67" fillId="16" borderId="1" xfId="9" applyNumberFormat="1" applyFill="1" applyBorder="1" applyAlignment="1">
      <alignment horizontal="center" vertical="center" wrapText="1"/>
    </xf>
    <xf numFmtId="164" fontId="67" fillId="16" borderId="5" xfId="9" applyFill="1" applyAlignment="1">
      <alignment horizontal="right" vertical="top" wrapText="1"/>
    </xf>
    <xf numFmtId="164" fontId="67" fillId="6" borderId="1" xfId="9" applyBorder="1" applyAlignment="1">
      <alignment horizontal="right" vertical="center" wrapText="1"/>
    </xf>
    <xf numFmtId="164" fontId="67" fillId="17" borderId="1" xfId="5" applyAlignment="1">
      <alignment horizontal="right" vertical="center"/>
    </xf>
    <xf numFmtId="3" fontId="67" fillId="6" borderId="12" xfId="9" applyNumberFormat="1" applyBorder="1"/>
    <xf numFmtId="164" fontId="67" fillId="17" borderId="1" xfId="5" applyAlignment="1">
      <alignment vertical="center"/>
    </xf>
    <xf numFmtId="164" fontId="67" fillId="6" borderId="5" xfId="9" applyAlignment="1">
      <alignment vertical="center"/>
    </xf>
    <xf numFmtId="164" fontId="66" fillId="6" borderId="5" xfId="9" applyFont="1" applyAlignment="1">
      <alignment vertical="center"/>
    </xf>
    <xf numFmtId="49" fontId="34" fillId="0" borderId="0" xfId="10" applyFont="1" applyFill="1" applyBorder="1">
      <alignment horizontal="left" vertical="center" wrapText="1"/>
    </xf>
    <xf numFmtId="49" fontId="32" fillId="8" borderId="1" xfId="10" applyFont="1" applyBorder="1">
      <alignment horizontal="left" vertical="center" wrapText="1"/>
    </xf>
    <xf numFmtId="164" fontId="42" fillId="0" borderId="0" xfId="8" applyNumberFormat="1"/>
    <xf numFmtId="49" fontId="30" fillId="8" borderId="1" xfId="10" applyFont="1" applyBorder="1">
      <alignment horizontal="left" vertical="center" wrapText="1"/>
    </xf>
    <xf numFmtId="49" fontId="36" fillId="8" borderId="11" xfId="10" applyBorder="1">
      <alignment horizontal="left" vertical="center" wrapText="1"/>
    </xf>
    <xf numFmtId="49" fontId="36" fillId="8" borderId="20" xfId="10" applyBorder="1">
      <alignment horizontal="left" vertical="center" wrapText="1"/>
    </xf>
    <xf numFmtId="49" fontId="36" fillId="8" borderId="9" xfId="10" applyBorder="1">
      <alignment horizontal="left" vertical="center" wrapText="1"/>
    </xf>
    <xf numFmtId="49" fontId="36" fillId="8" borderId="24" xfId="10" applyBorder="1">
      <alignment horizontal="left" vertical="center" wrapText="1"/>
    </xf>
    <xf numFmtId="49" fontId="36" fillId="8" borderId="21" xfId="10" applyBorder="1">
      <alignment horizontal="left" vertical="center" wrapText="1"/>
    </xf>
    <xf numFmtId="49" fontId="36" fillId="8" borderId="27" xfId="10" applyBorder="1">
      <alignment horizontal="left" vertical="center" wrapText="1"/>
    </xf>
    <xf numFmtId="49" fontId="36" fillId="8" borderId="29" xfId="10" applyBorder="1">
      <alignment horizontal="left" vertical="center" wrapText="1"/>
    </xf>
    <xf numFmtId="49" fontId="36" fillId="8" borderId="34" xfId="10" applyBorder="1">
      <alignment horizontal="left" vertical="center" wrapText="1"/>
    </xf>
    <xf numFmtId="49" fontId="36" fillId="8" borderId="32" xfId="10" applyBorder="1">
      <alignment horizontal="left" vertical="center" wrapText="1"/>
    </xf>
    <xf numFmtId="49" fontId="36" fillId="8" borderId="22" xfId="10" applyBorder="1">
      <alignment horizontal="left" vertical="center" wrapText="1"/>
    </xf>
    <xf numFmtId="49" fontId="67" fillId="6" borderId="1" xfId="11" applyFont="1" applyBorder="1">
      <alignment horizontal="left" vertical="center" wrapText="1"/>
    </xf>
    <xf numFmtId="164" fontId="67" fillId="6" borderId="1" xfId="9" applyFont="1" applyBorder="1"/>
    <xf numFmtId="0" fontId="75" fillId="0" borderId="0" xfId="8" applyFont="1" applyAlignment="1">
      <alignment horizontal="justify"/>
    </xf>
    <xf numFmtId="49" fontId="67" fillId="8" borderId="7" xfId="10" applyFont="1">
      <alignment horizontal="left" vertical="center" wrapText="1"/>
    </xf>
    <xf numFmtId="49" fontId="67" fillId="6" borderId="7" xfId="11" applyFont="1">
      <alignment horizontal="left" vertical="center" wrapText="1"/>
    </xf>
    <xf numFmtId="164" fontId="67" fillId="6" borderId="5" xfId="9" applyFont="1"/>
    <xf numFmtId="164" fontId="67" fillId="6" borderId="1" xfId="9" applyFont="1" applyBorder="1" applyAlignment="1">
      <alignment horizontal="right" vertical="center" wrapText="1"/>
    </xf>
    <xf numFmtId="164" fontId="67" fillId="17" borderId="1" xfId="5" applyFont="1" applyAlignment="1">
      <alignment horizontal="right" vertical="center"/>
    </xf>
    <xf numFmtId="3" fontId="39" fillId="0" borderId="0" xfId="8" applyNumberFormat="1" applyFont="1"/>
    <xf numFmtId="49" fontId="67" fillId="8" borderId="1" xfId="10" applyFont="1" applyBorder="1" applyAlignment="1">
      <alignment horizontal="center" vertical="center" wrapText="1"/>
    </xf>
    <xf numFmtId="49" fontId="36" fillId="8" borderId="1" xfId="10" applyBorder="1" applyAlignment="1">
      <alignment vertical="center" wrapText="1"/>
    </xf>
    <xf numFmtId="49" fontId="33" fillId="8" borderId="1" xfId="10" applyFont="1" applyBorder="1" applyAlignment="1">
      <alignment horizontal="left" vertical="center" wrapText="1"/>
    </xf>
    <xf numFmtId="49" fontId="67" fillId="10" borderId="1" xfId="13" applyBorder="1" applyAlignment="1">
      <alignment horizontal="left" vertical="center" wrapText="1"/>
    </xf>
    <xf numFmtId="49" fontId="36" fillId="8" borderId="1" xfId="10" applyBorder="1" applyAlignment="1">
      <alignment horizontal="right" vertical="center" wrapText="1"/>
    </xf>
    <xf numFmtId="164" fontId="67" fillId="17" borderId="1" xfId="5" applyAlignment="1">
      <alignment horizontal="right" vertical="center" wrapText="1"/>
    </xf>
    <xf numFmtId="0" fontId="42" fillId="0" borderId="0" xfId="0" applyFont="1" applyAlignment="1">
      <alignment horizontal="right" vertical="center"/>
    </xf>
    <xf numFmtId="164" fontId="67" fillId="16" borderId="1" xfId="9" applyFill="1" applyBorder="1" applyAlignment="1">
      <alignment horizontal="right" vertical="center" wrapText="1"/>
    </xf>
    <xf numFmtId="0" fontId="42" fillId="0" borderId="0" xfId="0" applyFont="1" applyAlignment="1">
      <alignment vertical="center"/>
    </xf>
    <xf numFmtId="164" fontId="67" fillId="6" borderId="1" xfId="9" applyFont="1" applyBorder="1" applyAlignment="1">
      <alignment vertical="center" wrapText="1"/>
    </xf>
    <xf numFmtId="0" fontId="39" fillId="0" borderId="0" xfId="0" applyFont="1" applyAlignment="1">
      <alignment vertical="center"/>
    </xf>
    <xf numFmtId="164" fontId="67" fillId="17" borderId="1" xfId="5" applyAlignment="1">
      <alignment vertical="center" wrapText="1"/>
    </xf>
    <xf numFmtId="164" fontId="67" fillId="6" borderId="1" xfId="9" applyBorder="1" applyAlignment="1">
      <alignment vertical="center" wrapText="1"/>
    </xf>
    <xf numFmtId="49" fontId="67" fillId="6" borderId="1" xfId="11" applyFont="1" applyBorder="1" applyAlignment="1">
      <alignment vertical="center" wrapText="1"/>
    </xf>
    <xf numFmtId="49" fontId="36" fillId="8" borderId="8" xfId="10" applyBorder="1" applyAlignment="1">
      <alignment vertical="center" wrapText="1"/>
    </xf>
    <xf numFmtId="164" fontId="67" fillId="16" borderId="1" xfId="5" applyFill="1" applyAlignment="1">
      <alignment vertical="center" wrapText="1"/>
    </xf>
    <xf numFmtId="49" fontId="28" fillId="8" borderId="1" xfId="10" applyFont="1" applyBorder="1" applyAlignment="1">
      <alignment horizontal="left" vertical="center" wrapText="1"/>
    </xf>
    <xf numFmtId="49" fontId="36" fillId="8" borderId="11" xfId="10" applyBorder="1" applyAlignment="1">
      <alignment vertical="center" wrapText="1"/>
    </xf>
    <xf numFmtId="164" fontId="67" fillId="17" borderId="11" xfId="5" applyBorder="1" applyAlignment="1">
      <alignment vertical="center" wrapText="1"/>
    </xf>
    <xf numFmtId="164" fontId="67" fillId="6" borderId="11" xfId="9" applyBorder="1" applyAlignment="1">
      <alignment vertical="center" wrapText="1"/>
    </xf>
    <xf numFmtId="49" fontId="28" fillId="8" borderId="11" xfId="10" applyFont="1" applyBorder="1" applyAlignment="1">
      <alignment vertical="center" wrapText="1"/>
    </xf>
    <xf numFmtId="49" fontId="67" fillId="8" borderId="17" xfId="10" applyFont="1" applyBorder="1" applyAlignment="1">
      <alignment horizontal="center" vertical="center" wrapText="1"/>
    </xf>
    <xf numFmtId="49" fontId="67" fillId="8" borderId="17" xfId="10" applyFont="1" applyBorder="1">
      <alignment horizontal="left" vertical="center" wrapText="1"/>
    </xf>
    <xf numFmtId="49" fontId="67" fillId="6" borderId="11" xfId="11" applyFont="1" applyBorder="1" applyAlignment="1">
      <alignment horizontal="left" vertical="center" wrapText="1"/>
    </xf>
    <xf numFmtId="164" fontId="67" fillId="6" borderId="11" xfId="9" applyFont="1" applyBorder="1" applyAlignment="1">
      <alignment horizontal="right" vertical="top" wrapText="1"/>
    </xf>
    <xf numFmtId="164" fontId="67" fillId="6" borderId="11" xfId="9" applyFont="1" applyBorder="1" applyAlignment="1">
      <alignment vertical="top" wrapText="1"/>
    </xf>
    <xf numFmtId="164" fontId="70" fillId="19" borderId="11" xfId="3" applyBorder="1" applyAlignment="1">
      <alignment horizontal="right" vertical="center" wrapText="1"/>
    </xf>
    <xf numFmtId="164" fontId="67" fillId="6" borderId="11" xfId="9" applyBorder="1" applyAlignment="1">
      <alignment horizontal="right" vertical="center" wrapText="1"/>
    </xf>
    <xf numFmtId="49" fontId="67" fillId="10" borderId="1" xfId="13" applyBorder="1" applyAlignment="1">
      <alignment horizontal="center" vertical="center" wrapText="1"/>
    </xf>
    <xf numFmtId="49" fontId="36" fillId="8" borderId="1" xfId="10" applyBorder="1" applyAlignment="1">
      <alignment horizontal="center" vertical="center" wrapText="1"/>
    </xf>
    <xf numFmtId="49" fontId="39" fillId="0" borderId="0" xfId="8" applyNumberFormat="1" applyFont="1" applyAlignment="1">
      <alignment horizontal="center" vertical="center" wrapText="1"/>
    </xf>
    <xf numFmtId="0" fontId="39" fillId="0" borderId="0" xfId="8" applyFont="1" applyAlignment="1">
      <alignment horizontal="center"/>
    </xf>
    <xf numFmtId="164" fontId="67" fillId="6" borderId="1" xfId="9" applyFont="1" applyBorder="1" applyAlignment="1">
      <alignment vertical="center"/>
    </xf>
    <xf numFmtId="164" fontId="67" fillId="16" borderId="1" xfId="9" applyFill="1" applyBorder="1" applyAlignment="1">
      <alignment vertical="center"/>
    </xf>
    <xf numFmtId="49" fontId="36" fillId="8" borderId="1" xfId="10" applyBorder="1" applyAlignment="1">
      <alignment horizontal="left" vertical="center" wrapText="1"/>
    </xf>
    <xf numFmtId="0" fontId="43" fillId="0" borderId="0" xfId="0" applyFont="1" applyAlignment="1">
      <alignment horizontal="center" vertical="center"/>
    </xf>
    <xf numFmtId="0" fontId="50" fillId="0" borderId="0" xfId="0" applyFont="1" applyAlignment="1">
      <alignment horizontal="center" vertical="center" wrapText="1"/>
    </xf>
    <xf numFmtId="0" fontId="64" fillId="0" borderId="0" xfId="7" applyFill="1" applyAlignment="1">
      <alignment horizontal="center" vertical="center" wrapText="1"/>
    </xf>
    <xf numFmtId="0" fontId="63" fillId="0" borderId="0" xfId="2" applyFill="1" applyAlignment="1">
      <alignment horizontal="center" vertical="center" wrapText="1"/>
    </xf>
    <xf numFmtId="49" fontId="36" fillId="8" borderId="11" xfId="10" applyBorder="1" applyAlignment="1">
      <alignment horizontal="center" vertical="center" wrapText="1"/>
    </xf>
    <xf numFmtId="49" fontId="67" fillId="6" borderId="1" xfId="11" applyFont="1" applyBorder="1" applyAlignment="1">
      <alignment horizontal="center" vertical="center" wrapText="1"/>
    </xf>
    <xf numFmtId="49" fontId="67" fillId="6" borderId="11" xfId="11" applyFont="1" applyBorder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164" fontId="67" fillId="6" borderId="41" xfId="9" applyBorder="1" applyAlignment="1">
      <alignment vertical="center"/>
    </xf>
    <xf numFmtId="164" fontId="66" fillId="6" borderId="41" xfId="9" applyFont="1" applyBorder="1" applyAlignment="1">
      <alignment vertical="center"/>
    </xf>
    <xf numFmtId="49" fontId="67" fillId="8" borderId="11" xfId="10" applyFont="1" applyBorder="1">
      <alignment horizontal="left" vertical="center" wrapText="1"/>
    </xf>
    <xf numFmtId="164" fontId="67" fillId="17" borderId="11" xfId="5" applyBorder="1" applyAlignment="1">
      <alignment vertical="center"/>
    </xf>
    <xf numFmtId="164" fontId="67" fillId="6" borderId="42" xfId="9" applyBorder="1" applyAlignment="1">
      <alignment vertical="center"/>
    </xf>
    <xf numFmtId="164" fontId="67" fillId="6" borderId="16" xfId="9" applyBorder="1" applyAlignment="1">
      <alignment vertical="center"/>
    </xf>
    <xf numFmtId="49" fontId="36" fillId="8" borderId="0" xfId="10" applyBorder="1">
      <alignment horizontal="left" vertical="center" wrapText="1"/>
    </xf>
    <xf numFmtId="49" fontId="67" fillId="8" borderId="20" xfId="10" applyFont="1" applyBorder="1">
      <alignment horizontal="left" vertical="center" wrapText="1"/>
    </xf>
    <xf numFmtId="49" fontId="76" fillId="8" borderId="18" xfId="10" applyFont="1" applyBorder="1">
      <alignment horizontal="left" vertical="center" wrapText="1"/>
    </xf>
    <xf numFmtId="49" fontId="76" fillId="8" borderId="1" xfId="10" applyFont="1" applyBorder="1">
      <alignment horizontal="left" vertical="center" wrapText="1"/>
    </xf>
    <xf numFmtId="49" fontId="76" fillId="6" borderId="17" xfId="11" applyFont="1" applyBorder="1">
      <alignment horizontal="left" vertical="center" wrapText="1"/>
    </xf>
    <xf numFmtId="49" fontId="76" fillId="6" borderId="2" xfId="11" applyFont="1" applyBorder="1">
      <alignment horizontal="left" vertical="center" wrapText="1"/>
    </xf>
    <xf numFmtId="49" fontId="76" fillId="8" borderId="11" xfId="10" applyFont="1" applyBorder="1">
      <alignment horizontal="left" vertical="center" wrapText="1"/>
    </xf>
    <xf numFmtId="49" fontId="76" fillId="8" borderId="32" xfId="10" applyFont="1" applyBorder="1">
      <alignment horizontal="left" vertical="center" wrapText="1"/>
    </xf>
    <xf numFmtId="49" fontId="76" fillId="8" borderId="9" xfId="10" applyFont="1" applyBorder="1">
      <alignment horizontal="left" vertical="center" wrapText="1"/>
    </xf>
    <xf numFmtId="0" fontId="77" fillId="0" borderId="0" xfId="0" applyFont="1"/>
    <xf numFmtId="49" fontId="67" fillId="8" borderId="43" xfId="10" applyFont="1" applyBorder="1">
      <alignment horizontal="left" vertical="center" wrapText="1"/>
    </xf>
    <xf numFmtId="49" fontId="67" fillId="8" borderId="44" xfId="10" applyFont="1" applyBorder="1">
      <alignment horizontal="left" vertical="center" wrapText="1"/>
    </xf>
    <xf numFmtId="49" fontId="67" fillId="8" borderId="33" xfId="10" applyFont="1" applyBorder="1">
      <alignment horizontal="left" vertical="center" wrapText="1"/>
    </xf>
    <xf numFmtId="49" fontId="67" fillId="8" borderId="3" xfId="10" applyFont="1" applyBorder="1">
      <alignment horizontal="left" vertical="center" wrapText="1"/>
    </xf>
    <xf numFmtId="49" fontId="67" fillId="6" borderId="1" xfId="11" applyFont="1" applyBorder="1" applyAlignment="1">
      <alignment horizontal="left" vertical="center" wrapText="1"/>
    </xf>
    <xf numFmtId="0" fontId="39" fillId="0" borderId="0" xfId="0" applyFont="1" applyAlignment="1">
      <alignment horizontal="center" vertical="center"/>
    </xf>
    <xf numFmtId="164" fontId="71" fillId="15" borderId="1" xfId="9" applyFont="1" applyFill="1" applyBorder="1" applyAlignment="1">
      <alignment vertical="center"/>
    </xf>
    <xf numFmtId="164" fontId="69" fillId="15" borderId="1" xfId="9" applyFont="1" applyFill="1" applyBorder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164" fontId="42" fillId="0" borderId="0" xfId="0" applyNumberFormat="1" applyFont="1" applyAlignment="1">
      <alignment vertical="center"/>
    </xf>
    <xf numFmtId="39" fontId="42" fillId="0" borderId="0" xfId="14" applyNumberFormat="1" applyFont="1"/>
    <xf numFmtId="164" fontId="79" fillId="0" borderId="0" xfId="8" applyNumberFormat="1" applyFont="1"/>
    <xf numFmtId="49" fontId="68" fillId="0" borderId="0" xfId="12" applyFill="1" applyBorder="1" applyAlignment="1">
      <alignment horizontal="center" vertical="center"/>
    </xf>
    <xf numFmtId="164" fontId="51" fillId="0" borderId="0" xfId="8" applyNumberFormat="1" applyFont="1" applyAlignment="1">
      <alignment horizontal="right" vertical="top" wrapText="1"/>
    </xf>
    <xf numFmtId="49" fontId="76" fillId="6" borderId="17" xfId="11" applyFont="1" applyBorder="1" applyAlignment="1">
      <alignment horizontal="left" vertical="center" wrapText="1"/>
    </xf>
    <xf numFmtId="0" fontId="55" fillId="0" borderId="0" xfId="0" applyFont="1" applyAlignment="1">
      <alignment vertical="center"/>
    </xf>
    <xf numFmtId="164" fontId="25" fillId="17" borderId="1" xfId="5" applyFont="1" applyAlignment="1">
      <alignment vertical="center"/>
    </xf>
    <xf numFmtId="49" fontId="67" fillId="10" borderId="1" xfId="13" applyFont="1" applyBorder="1" applyAlignment="1">
      <alignment horizontal="left" vertical="center" wrapText="1"/>
    </xf>
    <xf numFmtId="165" fontId="70" fillId="19" borderId="1" xfId="3" applyNumberFormat="1" applyBorder="1" applyAlignment="1">
      <alignment horizontal="right" vertical="center" wrapText="1"/>
    </xf>
    <xf numFmtId="165" fontId="67" fillId="16" borderId="1" xfId="9" applyNumberFormat="1" applyFill="1" applyBorder="1" applyAlignment="1">
      <alignment horizontal="right" vertical="center" wrapText="1"/>
    </xf>
    <xf numFmtId="165" fontId="67" fillId="17" borderId="1" xfId="5" applyNumberFormat="1" applyAlignment="1">
      <alignment horizontal="right" vertical="center" wrapText="1"/>
    </xf>
    <xf numFmtId="49" fontId="67" fillId="6" borderId="13" xfId="11" applyFont="1" applyBorder="1" applyAlignment="1">
      <alignment horizontal="center" vertical="center" wrapText="1"/>
    </xf>
    <xf numFmtId="49" fontId="67" fillId="6" borderId="2" xfId="11" applyFont="1" applyBorder="1">
      <alignment horizontal="left" vertical="center" wrapText="1"/>
    </xf>
    <xf numFmtId="165" fontId="67" fillId="6" borderId="2" xfId="9" applyNumberFormat="1" applyFont="1" applyBorder="1" applyAlignment="1">
      <alignment horizontal="right" vertical="center" wrapText="1"/>
    </xf>
    <xf numFmtId="164" fontId="67" fillId="6" borderId="2" xfId="9" applyFont="1" applyBorder="1" applyAlignment="1">
      <alignment horizontal="right" vertical="center" wrapText="1"/>
    </xf>
    <xf numFmtId="165" fontId="67" fillId="6" borderId="1" xfId="9" applyNumberFormat="1" applyFont="1" applyBorder="1" applyAlignment="1">
      <alignment horizontal="right" vertical="center" wrapText="1"/>
    </xf>
    <xf numFmtId="164" fontId="50" fillId="0" borderId="0" xfId="8" applyNumberFormat="1" applyFont="1" applyAlignment="1">
      <alignment horizontal="right" vertical="top" wrapText="1"/>
    </xf>
    <xf numFmtId="164" fontId="67" fillId="0" borderId="0" xfId="4" applyNumberFormat="1" applyFill="1" applyBorder="1" applyAlignment="1">
      <alignment horizontal="right" vertical="top" wrapText="1"/>
    </xf>
    <xf numFmtId="164" fontId="39" fillId="0" borderId="0" xfId="0" applyNumberFormat="1" applyFont="1"/>
    <xf numFmtId="49" fontId="67" fillId="10" borderId="1" xfId="13" applyFont="1" applyBorder="1" applyAlignment="1">
      <alignment horizontal="center" vertical="center" wrapText="1"/>
    </xf>
    <xf numFmtId="49" fontId="36" fillId="8" borderId="1" xfId="10" applyBorder="1">
      <alignment horizontal="left" vertical="center" wrapText="1"/>
    </xf>
    <xf numFmtId="49" fontId="37" fillId="6" borderId="1" xfId="11" applyBorder="1">
      <alignment horizontal="left" vertical="center" wrapText="1"/>
    </xf>
    <xf numFmtId="49" fontId="36" fillId="8" borderId="1" xfId="10" applyBorder="1" applyAlignment="1">
      <alignment horizontal="center" vertical="center" wrapText="1"/>
    </xf>
    <xf numFmtId="49" fontId="67" fillId="8" borderId="1" xfId="10" applyFont="1" applyBorder="1">
      <alignment horizontal="left" vertical="center" wrapText="1"/>
    </xf>
    <xf numFmtId="49" fontId="36" fillId="8" borderId="49" xfId="10" applyBorder="1">
      <alignment horizontal="left" vertical="center" wrapText="1"/>
    </xf>
    <xf numFmtId="49" fontId="73" fillId="9" borderId="17" xfId="12" applyFont="1" applyBorder="1" applyAlignment="1">
      <alignment horizontal="center" vertical="center"/>
    </xf>
    <xf numFmtId="49" fontId="36" fillId="8" borderId="52" xfId="10" applyBorder="1">
      <alignment horizontal="left" vertical="center" wrapText="1"/>
    </xf>
    <xf numFmtId="49" fontId="36" fillId="8" borderId="53" xfId="10" applyBorder="1">
      <alignment horizontal="left" vertical="center" wrapText="1"/>
    </xf>
    <xf numFmtId="49" fontId="36" fillId="8" borderId="47" xfId="10" applyBorder="1">
      <alignment horizontal="left" vertical="center" wrapText="1"/>
    </xf>
    <xf numFmtId="49" fontId="36" fillId="8" borderId="47" xfId="10" applyBorder="1" applyAlignment="1">
      <alignment horizontal="left" vertical="center" wrapText="1"/>
    </xf>
    <xf numFmtId="0" fontId="62" fillId="0" borderId="0" xfId="0" applyFont="1"/>
    <xf numFmtId="49" fontId="27" fillId="8" borderId="49" xfId="10" applyFont="1" applyBorder="1">
      <alignment horizontal="left" vertical="center" wrapText="1"/>
    </xf>
    <xf numFmtId="49" fontId="74" fillId="9" borderId="17" xfId="12" applyFont="1" applyBorder="1">
      <alignment horizontal="center" vertical="center"/>
    </xf>
    <xf numFmtId="164" fontId="74" fillId="17" borderId="39" xfId="5" applyFont="1" applyBorder="1" applyAlignment="1">
      <alignment vertical="center"/>
    </xf>
    <xf numFmtId="164" fontId="74" fillId="17" borderId="3" xfId="5" applyFont="1" applyBorder="1" applyAlignment="1">
      <alignment vertical="center"/>
    </xf>
    <xf numFmtId="164" fontId="65" fillId="19" borderId="3" xfId="3" applyFont="1" applyBorder="1" applyAlignment="1">
      <alignment vertical="center"/>
    </xf>
    <xf numFmtId="164" fontId="74" fillId="6" borderId="3" xfId="9" applyFont="1" applyBorder="1" applyAlignment="1">
      <alignment vertical="center"/>
    </xf>
    <xf numFmtId="164" fontId="74" fillId="16" borderId="3" xfId="9" applyFont="1" applyFill="1" applyBorder="1" applyAlignment="1">
      <alignment vertical="center"/>
    </xf>
    <xf numFmtId="49" fontId="67" fillId="21" borderId="1" xfId="10" applyFont="1" applyFill="1" applyBorder="1">
      <alignment horizontal="left" vertical="center" wrapText="1"/>
    </xf>
    <xf numFmtId="49" fontId="67" fillId="21" borderId="49" xfId="10" applyFont="1" applyFill="1" applyBorder="1">
      <alignment horizontal="left" vertical="center" wrapText="1"/>
    </xf>
    <xf numFmtId="164" fontId="65" fillId="21" borderId="3" xfId="3" applyFont="1" applyFill="1" applyBorder="1" applyAlignment="1">
      <alignment vertical="center"/>
    </xf>
    <xf numFmtId="164" fontId="67" fillId="16" borderId="46" xfId="9" applyFill="1" applyBorder="1" applyAlignment="1">
      <alignment vertical="center"/>
    </xf>
    <xf numFmtId="164" fontId="67" fillId="16" borderId="54" xfId="9" applyFill="1" applyBorder="1" applyAlignment="1">
      <alignment vertical="center"/>
    </xf>
    <xf numFmtId="164" fontId="74" fillId="19" borderId="5" xfId="3" applyFont="1" applyAlignment="1">
      <alignment horizontal="right" vertical="center" wrapText="1"/>
    </xf>
    <xf numFmtId="49" fontId="74" fillId="8" borderId="17" xfId="10" applyFont="1" applyBorder="1" applyAlignment="1">
      <alignment horizontal="center" vertical="center" wrapText="1"/>
    </xf>
    <xf numFmtId="49" fontId="74" fillId="8" borderId="15" xfId="10" applyFont="1" applyBorder="1" applyAlignment="1">
      <alignment horizontal="center" vertical="center" wrapText="1"/>
    </xf>
    <xf numFmtId="49" fontId="74" fillId="8" borderId="45" xfId="10" applyFont="1" applyBorder="1">
      <alignment horizontal="left" vertical="center" wrapText="1"/>
    </xf>
    <xf numFmtId="49" fontId="74" fillId="8" borderId="26" xfId="10" applyFont="1" applyBorder="1" applyAlignment="1">
      <alignment horizontal="center" vertical="center" wrapText="1"/>
    </xf>
    <xf numFmtId="49" fontId="65" fillId="8" borderId="33" xfId="10" applyFont="1" applyBorder="1">
      <alignment horizontal="left" vertical="center" wrapText="1"/>
    </xf>
    <xf numFmtId="164" fontId="65" fillId="19" borderId="19" xfId="3" applyFont="1" applyBorder="1"/>
    <xf numFmtId="164" fontId="65" fillId="19" borderId="5" xfId="3" applyFont="1" applyBorder="1"/>
    <xf numFmtId="164" fontId="74" fillId="6" borderId="17" xfId="9" applyFont="1" applyBorder="1"/>
    <xf numFmtId="164" fontId="74" fillId="6" borderId="17" xfId="9" applyFont="1" applyBorder="1" applyAlignment="1">
      <alignment vertical="center"/>
    </xf>
    <xf numFmtId="164" fontId="65" fillId="19" borderId="16" xfId="3" applyFont="1" applyBorder="1"/>
    <xf numFmtId="164" fontId="74" fillId="16" borderId="1" xfId="9" applyFont="1" applyFill="1" applyBorder="1"/>
    <xf numFmtId="49" fontId="65" fillId="8" borderId="3" xfId="10" applyFont="1" applyBorder="1">
      <alignment horizontal="left" vertical="center" wrapText="1"/>
    </xf>
    <xf numFmtId="164" fontId="65" fillId="19" borderId="1" xfId="3" applyFont="1" applyBorder="1"/>
    <xf numFmtId="164" fontId="74" fillId="6" borderId="1" xfId="9" applyFont="1" applyBorder="1"/>
    <xf numFmtId="164" fontId="74" fillId="22" borderId="1" xfId="9" applyFont="1" applyFill="1" applyBorder="1"/>
    <xf numFmtId="49" fontId="65" fillId="8" borderId="32" xfId="10" applyFont="1" applyBorder="1">
      <alignment horizontal="left" vertical="center" wrapText="1"/>
    </xf>
    <xf numFmtId="164" fontId="74" fillId="6" borderId="15" xfId="9" applyFont="1" applyBorder="1" applyAlignment="1">
      <alignment vertical="center"/>
    </xf>
    <xf numFmtId="49" fontId="65" fillId="8" borderId="9" xfId="10" applyFont="1" applyBorder="1">
      <alignment horizontal="left" vertical="center" wrapText="1"/>
    </xf>
    <xf numFmtId="164" fontId="74" fillId="23" borderId="1" xfId="9" applyFont="1" applyFill="1" applyBorder="1" applyAlignment="1">
      <alignment horizontal="right" vertical="center" wrapText="1"/>
    </xf>
    <xf numFmtId="164" fontId="65" fillId="23" borderId="1" xfId="3" applyFont="1" applyFill="1" applyBorder="1"/>
    <xf numFmtId="164" fontId="74" fillId="23" borderId="1" xfId="9" applyFont="1" applyFill="1" applyBorder="1"/>
    <xf numFmtId="164" fontId="65" fillId="19" borderId="1" xfId="3" applyFont="1" applyBorder="1" applyAlignment="1">
      <alignment vertical="center"/>
    </xf>
    <xf numFmtId="164" fontId="74" fillId="0" borderId="0" xfId="9" applyFont="1" applyFill="1" applyBorder="1"/>
    <xf numFmtId="164" fontId="74" fillId="23" borderId="1" xfId="9" applyFont="1" applyFill="1" applyBorder="1" applyAlignment="1">
      <alignment horizontal="left" vertical="center" wrapText="1"/>
    </xf>
    <xf numFmtId="164" fontId="74" fillId="22" borderId="1" xfId="9" applyFont="1" applyFill="1" applyBorder="1" applyAlignment="1">
      <alignment horizontal="right" vertical="center" wrapText="1"/>
    </xf>
    <xf numFmtId="49" fontId="23" fillId="8" borderId="49" xfId="10" applyFont="1" applyBorder="1" applyAlignment="1">
      <alignment horizontal="left" vertical="center" wrapText="1"/>
    </xf>
    <xf numFmtId="49" fontId="67" fillId="10" borderId="49" xfId="13" applyFont="1" applyBorder="1" applyAlignment="1">
      <alignment horizontal="left" vertical="center" wrapText="1"/>
    </xf>
    <xf numFmtId="0" fontId="42" fillId="0" borderId="0" xfId="8" applyBorder="1"/>
    <xf numFmtId="0" fontId="55" fillId="0" borderId="0" xfId="0" applyFont="1" applyFill="1"/>
    <xf numFmtId="0" fontId="60" fillId="0" borderId="0" xfId="0" applyFont="1" applyAlignment="1"/>
    <xf numFmtId="49" fontId="67" fillId="6" borderId="49" xfId="11" applyFont="1" applyBorder="1" applyAlignment="1">
      <alignment horizontal="left" vertical="center" wrapText="1"/>
    </xf>
    <xf numFmtId="49" fontId="20" fillId="8" borderId="15" xfId="10" applyFont="1" applyBorder="1" applyAlignment="1">
      <alignment horizontal="center" vertical="center" wrapText="1"/>
    </xf>
    <xf numFmtId="164" fontId="20" fillId="8" borderId="17" xfId="10" applyNumberFormat="1" applyFont="1" applyBorder="1" applyAlignment="1">
      <alignment horizontal="center" vertical="center" wrapText="1"/>
    </xf>
    <xf numFmtId="164" fontId="68" fillId="0" borderId="9" xfId="12" applyNumberFormat="1" applyFont="1" applyFill="1" applyBorder="1" applyAlignment="1">
      <alignment horizontal="center" vertical="center"/>
    </xf>
    <xf numFmtId="164" fontId="73" fillId="15" borderId="3" xfId="9" applyNumberFormat="1" applyFont="1" applyFill="1" applyBorder="1" applyAlignment="1">
      <alignment vertical="center"/>
    </xf>
    <xf numFmtId="49" fontId="67" fillId="10" borderId="1" xfId="13" applyBorder="1" applyAlignment="1">
      <alignment horizontal="center" vertical="center" wrapText="1"/>
    </xf>
    <xf numFmtId="49" fontId="36" fillId="8" borderId="10" xfId="10" applyBorder="1" applyAlignment="1">
      <alignment horizontal="center" vertical="center" wrapText="1"/>
    </xf>
    <xf numFmtId="49" fontId="36" fillId="8" borderId="10" xfId="10" applyBorder="1" applyAlignment="1">
      <alignment vertical="center" wrapText="1"/>
    </xf>
    <xf numFmtId="49" fontId="67" fillId="10" borderId="1" xfId="13" applyBorder="1" applyAlignment="1">
      <alignment vertical="center" wrapText="1"/>
    </xf>
    <xf numFmtId="164" fontId="39" fillId="0" borderId="0" xfId="8" applyNumberFormat="1" applyFont="1"/>
    <xf numFmtId="164" fontId="67" fillId="6" borderId="5" xfId="9" applyAlignment="1">
      <alignment horizontal="right" vertical="center" wrapText="1"/>
    </xf>
    <xf numFmtId="164" fontId="73" fillId="9" borderId="26" xfId="12" applyNumberFormat="1" applyFont="1" applyBorder="1" applyAlignment="1">
      <alignment horizontal="center" vertical="center" wrapText="1"/>
    </xf>
    <xf numFmtId="164" fontId="68" fillId="17" borderId="39" xfId="5" applyNumberFormat="1" applyFont="1" applyBorder="1" applyAlignment="1">
      <alignment vertical="center"/>
    </xf>
    <xf numFmtId="164" fontId="68" fillId="17" borderId="3" xfId="5" applyNumberFormat="1" applyFont="1" applyBorder="1" applyAlignment="1">
      <alignment vertical="center"/>
    </xf>
    <xf numFmtId="164" fontId="69" fillId="17" borderId="1" xfId="5" applyFont="1" applyAlignment="1">
      <alignment vertical="center"/>
    </xf>
    <xf numFmtId="164" fontId="73" fillId="6" borderId="3" xfId="9" applyNumberFormat="1" applyFont="1" applyBorder="1" applyAlignment="1">
      <alignment vertical="center"/>
    </xf>
    <xf numFmtId="164" fontId="69" fillId="6" borderId="1" xfId="9" applyFont="1" applyBorder="1" applyAlignment="1">
      <alignment vertical="center"/>
    </xf>
    <xf numFmtId="164" fontId="68" fillId="19" borderId="3" xfId="3" applyNumberFormat="1" applyFont="1" applyBorder="1" applyAlignment="1">
      <alignment vertical="center"/>
    </xf>
    <xf numFmtId="164" fontId="80" fillId="19" borderId="1" xfId="3" applyFont="1" applyBorder="1" applyAlignment="1">
      <alignment vertical="center"/>
    </xf>
    <xf numFmtId="164" fontId="73" fillId="17" borderId="3" xfId="5" applyNumberFormat="1" applyFont="1" applyBorder="1" applyAlignment="1">
      <alignment vertical="center"/>
    </xf>
    <xf numFmtId="164" fontId="73" fillId="16" borderId="3" xfId="9" applyNumberFormat="1" applyFont="1" applyFill="1" applyBorder="1" applyAlignment="1">
      <alignment vertical="center"/>
    </xf>
    <xf numFmtId="164" fontId="69" fillId="16" borderId="1" xfId="9" applyFont="1" applyFill="1" applyBorder="1" applyAlignment="1">
      <alignment vertical="center"/>
    </xf>
    <xf numFmtId="164" fontId="40" fillId="0" borderId="0" xfId="0" applyNumberFormat="1" applyFont="1" applyAlignment="1">
      <alignment vertical="center"/>
    </xf>
    <xf numFmtId="164" fontId="45" fillId="0" borderId="0" xfId="0" applyNumberFormat="1" applyFont="1" applyAlignment="1">
      <alignment vertical="center"/>
    </xf>
    <xf numFmtId="164" fontId="68" fillId="19" borderId="39" xfId="3" applyNumberFormat="1" applyFont="1" applyBorder="1" applyAlignment="1">
      <alignment vertical="center"/>
    </xf>
    <xf numFmtId="164" fontId="81" fillId="17" borderId="3" xfId="5" applyFont="1" applyBorder="1" applyAlignment="1">
      <alignment vertical="center"/>
    </xf>
    <xf numFmtId="164" fontId="69" fillId="6" borderId="3" xfId="9" applyFont="1" applyBorder="1" applyAlignment="1">
      <alignment vertical="center"/>
    </xf>
    <xf numFmtId="164" fontId="69" fillId="6" borderId="3" xfId="5" applyFont="1" applyFill="1" applyBorder="1" applyAlignment="1">
      <alignment vertical="center"/>
    </xf>
    <xf numFmtId="164" fontId="69" fillId="6" borderId="1" xfId="5" applyFont="1" applyFill="1" applyAlignment="1">
      <alignment vertical="center"/>
    </xf>
    <xf numFmtId="164" fontId="69" fillId="16" borderId="3" xfId="9" applyFont="1" applyFill="1" applyBorder="1" applyAlignment="1">
      <alignment vertical="center"/>
    </xf>
    <xf numFmtId="3" fontId="40" fillId="0" borderId="0" xfId="0" applyNumberFormat="1" applyFont="1"/>
    <xf numFmtId="0" fontId="46" fillId="0" borderId="0" xfId="8" applyFont="1" applyAlignment="1">
      <alignment vertical="center"/>
    </xf>
    <xf numFmtId="0" fontId="42" fillId="0" borderId="0" xfId="8" applyAlignment="1">
      <alignment vertical="center"/>
    </xf>
    <xf numFmtId="0" fontId="39" fillId="0" borderId="0" xfId="8" applyFont="1" applyAlignment="1">
      <alignment wrapText="1"/>
    </xf>
    <xf numFmtId="164" fontId="45" fillId="0" borderId="0" xfId="8" applyNumberFormat="1" applyFont="1"/>
    <xf numFmtId="49" fontId="69" fillId="8" borderId="1" xfId="10" applyFont="1" applyBorder="1">
      <alignment horizontal="left" vertical="center" wrapText="1"/>
    </xf>
    <xf numFmtId="49" fontId="69" fillId="8" borderId="1" xfId="10" applyFont="1" applyBorder="1" applyAlignment="1">
      <alignment horizontal="center" vertical="center" wrapText="1"/>
    </xf>
    <xf numFmtId="49" fontId="40" fillId="0" borderId="0" xfId="8" applyNumberFormat="1" applyFont="1" applyAlignment="1">
      <alignment horizontal="center" vertical="center" wrapText="1"/>
    </xf>
    <xf numFmtId="49" fontId="69" fillId="8" borderId="1" xfId="10" applyFont="1" applyBorder="1" applyAlignment="1">
      <alignment horizontal="left" vertical="center" wrapText="1"/>
    </xf>
    <xf numFmtId="49" fontId="69" fillId="8" borderId="7" xfId="10" applyFont="1" applyAlignment="1">
      <alignment horizontal="center" vertical="center" wrapText="1"/>
    </xf>
    <xf numFmtId="164" fontId="19" fillId="19" borderId="5" xfId="3" applyFont="1"/>
    <xf numFmtId="164" fontId="19" fillId="19" borderId="5" xfId="3" applyFont="1" applyAlignment="1">
      <alignment horizontal="right"/>
    </xf>
    <xf numFmtId="164" fontId="68" fillId="19" borderId="1" xfId="3" applyFont="1" applyBorder="1" applyAlignment="1">
      <alignment vertical="center"/>
    </xf>
    <xf numFmtId="49" fontId="73" fillId="9" borderId="1" xfId="12" applyFont="1">
      <alignment horizontal="center" vertical="center"/>
    </xf>
    <xf numFmtId="49" fontId="25" fillId="8" borderId="1" xfId="10" applyFont="1" applyBorder="1">
      <alignment horizontal="left" vertical="center" wrapText="1"/>
    </xf>
    <xf numFmtId="49" fontId="36" fillId="8" borderId="49" xfId="10" applyBorder="1">
      <alignment horizontal="left" vertical="center" wrapText="1"/>
    </xf>
    <xf numFmtId="49" fontId="36" fillId="8" borderId="1" xfId="10" applyBorder="1">
      <alignment horizontal="left" vertical="center" wrapText="1"/>
    </xf>
    <xf numFmtId="49" fontId="67" fillId="6" borderId="1" xfId="11" applyFont="1" applyBorder="1">
      <alignment horizontal="left" vertical="center" wrapText="1"/>
    </xf>
    <xf numFmtId="49" fontId="67" fillId="6" borderId="49" xfId="11" applyFont="1" applyBorder="1">
      <alignment horizontal="left" vertical="center" wrapText="1"/>
    </xf>
    <xf numFmtId="49" fontId="73" fillId="9" borderId="17" xfId="12" applyFont="1" applyBorder="1">
      <alignment horizontal="center" vertical="center"/>
    </xf>
    <xf numFmtId="49" fontId="37" fillId="6" borderId="1" xfId="11" applyBorder="1">
      <alignment horizontal="left" vertical="center" wrapText="1"/>
    </xf>
    <xf numFmtId="49" fontId="67" fillId="10" borderId="1" xfId="13" applyFont="1" applyBorder="1">
      <alignment horizontal="left" vertical="center" wrapText="1"/>
    </xf>
    <xf numFmtId="49" fontId="67" fillId="6" borderId="1" xfId="11" applyFont="1" applyBorder="1" applyAlignment="1">
      <alignment horizontal="center" vertical="center" wrapText="1"/>
    </xf>
    <xf numFmtId="49" fontId="73" fillId="9" borderId="4" xfId="12" applyFont="1" applyBorder="1">
      <alignment horizontal="center" vertical="center"/>
    </xf>
    <xf numFmtId="49" fontId="67" fillId="10" borderId="1" xfId="13" applyBorder="1">
      <alignment horizontal="left" vertical="center" wrapText="1"/>
    </xf>
    <xf numFmtId="49" fontId="67" fillId="10" borderId="49" xfId="13" applyBorder="1">
      <alignment horizontal="left" vertical="center" wrapText="1"/>
    </xf>
    <xf numFmtId="49" fontId="23" fillId="8" borderId="1" xfId="10" applyFont="1" applyBorder="1">
      <alignment horizontal="left" vertical="center" wrapText="1"/>
    </xf>
    <xf numFmtId="49" fontId="36" fillId="8" borderId="11" xfId="10" applyBorder="1">
      <alignment horizontal="left" vertical="center" wrapText="1"/>
    </xf>
    <xf numFmtId="49" fontId="36" fillId="8" borderId="51" xfId="10" applyBorder="1">
      <alignment horizontal="left" vertical="center" wrapText="1"/>
    </xf>
    <xf numFmtId="49" fontId="73" fillId="9" borderId="1" xfId="12" applyFont="1" applyAlignment="1">
      <alignment horizontal="center" vertical="center" wrapText="1"/>
    </xf>
    <xf numFmtId="49" fontId="67" fillId="8" borderId="1" xfId="10" applyFont="1" applyBorder="1" applyAlignment="1">
      <alignment horizontal="center" vertical="center" wrapText="1"/>
    </xf>
    <xf numFmtId="49" fontId="36" fillId="8" borderId="4" xfId="10" applyBorder="1">
      <alignment horizontal="left" vertical="center" wrapText="1"/>
    </xf>
    <xf numFmtId="0" fontId="85" fillId="0" borderId="0" xfId="0" applyFont="1"/>
    <xf numFmtId="0" fontId="42" fillId="0" borderId="0" xfId="8" applyProtection="1"/>
    <xf numFmtId="49" fontId="68" fillId="0" borderId="0" xfId="12" applyFill="1" applyBorder="1" applyAlignment="1" applyProtection="1">
      <alignment horizontal="center" vertical="center"/>
    </xf>
    <xf numFmtId="49" fontId="68" fillId="0" borderId="0" xfId="12" applyFont="1" applyFill="1" applyBorder="1" applyAlignment="1" applyProtection="1">
      <alignment horizontal="center" vertical="center" wrapText="1"/>
    </xf>
    <xf numFmtId="49" fontId="73" fillId="9" borderId="1" xfId="12" applyFont="1" applyAlignment="1" applyProtection="1">
      <alignment horizontal="center" vertical="center"/>
    </xf>
    <xf numFmtId="49" fontId="73" fillId="9" borderId="1" xfId="12" applyFont="1" applyAlignment="1" applyProtection="1">
      <alignment horizontal="center" vertical="center" wrapText="1"/>
    </xf>
    <xf numFmtId="49" fontId="36" fillId="8" borderId="1" xfId="10" applyBorder="1" applyAlignment="1" applyProtection="1">
      <alignment horizontal="left" vertical="center" wrapText="1"/>
    </xf>
    <xf numFmtId="164" fontId="82" fillId="19" borderId="1" xfId="3" applyFont="1" applyBorder="1" applyAlignment="1" applyProtection="1">
      <alignment vertical="center"/>
    </xf>
    <xf numFmtId="49" fontId="67" fillId="6" borderId="1" xfId="11" applyFont="1" applyBorder="1" applyAlignment="1" applyProtection="1">
      <alignment horizontal="left" vertical="center" wrapText="1"/>
    </xf>
    <xf numFmtId="164" fontId="73" fillId="6" borderId="1" xfId="9" applyFont="1" applyBorder="1" applyAlignment="1" applyProtection="1">
      <alignment vertical="center"/>
    </xf>
    <xf numFmtId="164" fontId="69" fillId="6" borderId="1" xfId="9" applyFont="1" applyBorder="1" applyAlignment="1" applyProtection="1">
      <alignment vertical="center"/>
    </xf>
    <xf numFmtId="0" fontId="39" fillId="0" borderId="0" xfId="8" applyFont="1" applyProtection="1"/>
    <xf numFmtId="49" fontId="22" fillId="8" borderId="1" xfId="10" applyFont="1" applyBorder="1" applyAlignment="1" applyProtection="1">
      <alignment horizontal="left" vertical="center" wrapText="1"/>
    </xf>
    <xf numFmtId="164" fontId="73" fillId="16" borderId="1" xfId="9" applyFont="1" applyFill="1" applyBorder="1" applyAlignment="1" applyProtection="1">
      <alignment vertical="center"/>
    </xf>
    <xf numFmtId="164" fontId="69" fillId="16" borderId="1" xfId="9" applyFont="1" applyFill="1" applyBorder="1" applyAlignment="1" applyProtection="1">
      <alignment vertical="center"/>
    </xf>
    <xf numFmtId="49" fontId="67" fillId="0" borderId="0" xfId="13" applyFill="1" applyBorder="1" applyAlignment="1" applyProtection="1">
      <alignment horizontal="left" vertical="center" wrapText="1"/>
    </xf>
    <xf numFmtId="164" fontId="73" fillId="0" borderId="0" xfId="9" applyFont="1" applyFill="1" applyBorder="1" applyAlignment="1" applyProtection="1">
      <alignment vertical="center"/>
    </xf>
    <xf numFmtId="164" fontId="83" fillId="0" borderId="0" xfId="9" applyFont="1" applyFill="1" applyBorder="1" applyAlignment="1" applyProtection="1">
      <alignment vertical="center"/>
    </xf>
    <xf numFmtId="164" fontId="84" fillId="0" borderId="0" xfId="9" applyFont="1" applyFill="1" applyBorder="1" applyAlignment="1" applyProtection="1">
      <alignment vertical="center"/>
    </xf>
    <xf numFmtId="164" fontId="84" fillId="0" borderId="28" xfId="9" applyFont="1" applyFill="1" applyBorder="1" applyAlignment="1" applyProtection="1">
      <alignment vertical="center"/>
    </xf>
    <xf numFmtId="0" fontId="42" fillId="0" borderId="0" xfId="8" applyFont="1" applyProtection="1"/>
    <xf numFmtId="49" fontId="27" fillId="8" borderId="1" xfId="10" applyFont="1" applyBorder="1" applyAlignment="1" applyProtection="1">
      <alignment horizontal="left" vertical="center" wrapText="1"/>
    </xf>
    <xf numFmtId="49" fontId="31" fillId="8" borderId="1" xfId="10" applyFont="1" applyBorder="1" applyAlignment="1" applyProtection="1">
      <alignment horizontal="left" vertical="center" wrapText="1"/>
    </xf>
    <xf numFmtId="49" fontId="69" fillId="0" borderId="0" xfId="13" applyFont="1" applyFill="1" applyBorder="1" applyAlignment="1" applyProtection="1">
      <alignment horizontal="left" vertical="center" wrapText="1"/>
    </xf>
    <xf numFmtId="49" fontId="73" fillId="9" borderId="1" xfId="12" applyFont="1">
      <alignment horizontal="center" vertical="center"/>
    </xf>
    <xf numFmtId="49" fontId="67" fillId="6" borderId="1" xfId="11" applyFont="1" applyBorder="1" applyAlignment="1">
      <alignment horizontal="center" vertical="center" wrapText="1"/>
    </xf>
    <xf numFmtId="49" fontId="67" fillId="8" borderId="1" xfId="10" applyFont="1" applyBorder="1" applyAlignment="1">
      <alignment horizontal="center" vertical="center" wrapText="1"/>
    </xf>
    <xf numFmtId="164" fontId="65" fillId="19" borderId="1" xfId="3" applyFont="1" applyBorder="1" applyAlignment="1">
      <alignment horizontal="right" vertical="center" wrapText="1"/>
    </xf>
    <xf numFmtId="49" fontId="67" fillId="8" borderId="51" xfId="10" applyFont="1" applyBorder="1">
      <alignment horizontal="left" vertical="center" wrapText="1"/>
    </xf>
    <xf numFmtId="49" fontId="67" fillId="8" borderId="49" xfId="10" applyFont="1" applyBorder="1">
      <alignment horizontal="left" vertical="center" wrapText="1"/>
    </xf>
    <xf numFmtId="165" fontId="65" fillId="19" borderId="1" xfId="3" applyNumberFormat="1" applyFont="1" applyBorder="1" applyAlignment="1">
      <alignment horizontal="right" vertical="center" wrapText="1"/>
    </xf>
    <xf numFmtId="164" fontId="65" fillId="19" borderId="1" xfId="3" applyFont="1" applyBorder="1" applyAlignment="1">
      <alignment horizontal="right" vertical="center"/>
    </xf>
    <xf numFmtId="164" fontId="74" fillId="17" borderId="1" xfId="5" applyFont="1" applyAlignment="1">
      <alignment horizontal="right" vertical="center"/>
    </xf>
    <xf numFmtId="165" fontId="65" fillId="19" borderId="1" xfId="3" applyNumberFormat="1" applyFont="1" applyBorder="1" applyAlignment="1">
      <alignment horizontal="center" vertical="center" wrapText="1"/>
    </xf>
    <xf numFmtId="164" fontId="65" fillId="19" borderId="1" xfId="3" applyFont="1" applyBorder="1" applyAlignment="1">
      <alignment horizontal="right" vertical="top" wrapText="1"/>
    </xf>
    <xf numFmtId="165" fontId="65" fillId="19" borderId="5" xfId="3" applyNumberFormat="1" applyFont="1" applyAlignment="1">
      <alignment horizontal="center" vertical="top" wrapText="1"/>
    </xf>
    <xf numFmtId="164" fontId="65" fillId="19" borderId="5" xfId="3" applyFont="1" applyAlignment="1">
      <alignment horizontal="right" vertical="top" wrapText="1"/>
    </xf>
    <xf numFmtId="165" fontId="74" fillId="6" borderId="5" xfId="9" applyNumberFormat="1" applyFont="1" applyAlignment="1">
      <alignment horizontal="center" vertical="top" wrapText="1"/>
    </xf>
    <xf numFmtId="164" fontId="74" fillId="6" borderId="5" xfId="9" applyFont="1" applyAlignment="1">
      <alignment horizontal="right" vertical="top" wrapText="1"/>
    </xf>
    <xf numFmtId="165" fontId="65" fillId="19" borderId="5" xfId="3" applyNumberFormat="1" applyFont="1" applyAlignment="1">
      <alignment horizontal="right" vertical="top" wrapText="1"/>
    </xf>
    <xf numFmtId="165" fontId="74" fillId="16" borderId="5" xfId="9" applyNumberFormat="1" applyFont="1" applyFill="1" applyAlignment="1">
      <alignment horizontal="center" vertical="top" wrapText="1"/>
    </xf>
    <xf numFmtId="164" fontId="74" fillId="16" borderId="5" xfId="9" applyFont="1" applyFill="1" applyAlignment="1">
      <alignment horizontal="right" vertical="top" wrapText="1"/>
    </xf>
    <xf numFmtId="165" fontId="65" fillId="19" borderId="1" xfId="3" applyNumberFormat="1" applyFont="1" applyBorder="1" applyAlignment="1">
      <alignment horizontal="center" vertical="top" wrapText="1"/>
    </xf>
    <xf numFmtId="165" fontId="74" fillId="6" borderId="1" xfId="9" applyNumberFormat="1" applyFont="1" applyBorder="1" applyAlignment="1">
      <alignment horizontal="center" vertical="top" wrapText="1"/>
    </xf>
    <xf numFmtId="164" fontId="74" fillId="6" borderId="1" xfId="9" applyFont="1" applyBorder="1" applyAlignment="1">
      <alignment horizontal="right" vertical="top" wrapText="1"/>
    </xf>
    <xf numFmtId="165" fontId="74" fillId="16" borderId="1" xfId="9" applyNumberFormat="1" applyFont="1" applyFill="1" applyBorder="1" applyAlignment="1">
      <alignment horizontal="center" vertical="top" wrapText="1"/>
    </xf>
    <xf numFmtId="164" fontId="74" fillId="16" borderId="1" xfId="9" applyFont="1" applyFill="1" applyBorder="1" applyAlignment="1">
      <alignment horizontal="right" vertical="top" wrapText="1"/>
    </xf>
    <xf numFmtId="165" fontId="74" fillId="17" borderId="1" xfId="5" applyNumberFormat="1" applyFont="1" applyAlignment="1">
      <alignment horizontal="center" vertical="top" wrapText="1"/>
    </xf>
    <xf numFmtId="164" fontId="74" fillId="17" borderId="1" xfId="5" applyFont="1" applyAlignment="1">
      <alignment horizontal="right" vertical="top" wrapText="1"/>
    </xf>
    <xf numFmtId="164" fontId="18" fillId="17" borderId="1" xfId="5" applyFont="1" applyAlignment="1">
      <alignment horizontal="right" vertical="top" wrapText="1"/>
    </xf>
    <xf numFmtId="0" fontId="42" fillId="0" borderId="0" xfId="8" applyFont="1"/>
    <xf numFmtId="49" fontId="67" fillId="8" borderId="4" xfId="10" applyFont="1" applyBorder="1" applyAlignment="1">
      <alignment horizontal="center" vertical="center" wrapText="1"/>
    </xf>
    <xf numFmtId="49" fontId="67" fillId="6" borderId="7" xfId="11" applyFont="1" applyAlignment="1">
      <alignment horizontal="center" vertical="center" wrapText="1"/>
    </xf>
    <xf numFmtId="0" fontId="67" fillId="0" borderId="0" xfId="2" applyFont="1" applyFill="1" applyAlignment="1">
      <alignment horizontal="center" vertical="top" wrapText="1"/>
    </xf>
    <xf numFmtId="0" fontId="75" fillId="0" borderId="0" xfId="8" applyFont="1"/>
    <xf numFmtId="0" fontId="85" fillId="0" borderId="0" xfId="0" applyFont="1" applyAlignment="1">
      <alignment wrapText="1"/>
    </xf>
    <xf numFmtId="164" fontId="68" fillId="19" borderId="3" xfId="3" applyFont="1" applyBorder="1" applyAlignment="1">
      <alignment vertical="center"/>
    </xf>
    <xf numFmtId="164" fontId="68" fillId="19" borderId="11" xfId="3" applyFont="1" applyBorder="1" applyAlignment="1">
      <alignment vertical="center"/>
    </xf>
    <xf numFmtId="164" fontId="73" fillId="6" borderId="3" xfId="9" applyFont="1" applyBorder="1" applyAlignment="1">
      <alignment vertical="center"/>
    </xf>
    <xf numFmtId="164" fontId="73" fillId="6" borderId="1" xfId="9" applyFont="1" applyBorder="1" applyAlignment="1">
      <alignment vertical="center"/>
    </xf>
    <xf numFmtId="164" fontId="73" fillId="16" borderId="3" xfId="9" applyFont="1" applyFill="1" applyBorder="1" applyAlignment="1">
      <alignment vertical="center"/>
    </xf>
    <xf numFmtId="164" fontId="73" fillId="16" borderId="1" xfId="9" applyFont="1" applyFill="1" applyBorder="1" applyAlignment="1">
      <alignment vertical="center"/>
    </xf>
    <xf numFmtId="164" fontId="65" fillId="19" borderId="1" xfId="3" applyFont="1" applyBorder="1" applyAlignment="1">
      <alignment horizontal="center" vertical="center" wrapText="1"/>
    </xf>
    <xf numFmtId="49" fontId="65" fillId="8" borderId="1" xfId="10" applyFont="1" applyBorder="1">
      <alignment horizontal="left" vertical="center" wrapText="1"/>
    </xf>
    <xf numFmtId="49" fontId="65" fillId="8" borderId="1" xfId="10" applyFont="1" applyBorder="1" applyAlignment="1">
      <alignment horizontal="left" vertical="center" wrapText="1"/>
    </xf>
    <xf numFmtId="49" fontId="74" fillId="8" borderId="1" xfId="10" applyFont="1" applyBorder="1" applyAlignment="1">
      <alignment horizontal="left" vertical="center" wrapText="1"/>
    </xf>
    <xf numFmtId="49" fontId="74" fillId="9" borderId="17" xfId="12" applyFont="1" applyBorder="1" applyAlignment="1">
      <alignment horizontal="center" vertical="center" wrapText="1"/>
    </xf>
    <xf numFmtId="164" fontId="65" fillId="19" borderId="5" xfId="3" applyFont="1" applyBorder="1" applyAlignment="1">
      <alignment vertical="center"/>
    </xf>
    <xf numFmtId="164" fontId="65" fillId="19" borderId="19" xfId="3" applyFont="1" applyBorder="1" applyAlignment="1">
      <alignment vertical="center"/>
    </xf>
    <xf numFmtId="164" fontId="65" fillId="19" borderId="16" xfId="3" applyFont="1" applyBorder="1" applyAlignment="1">
      <alignment vertical="center"/>
    </xf>
    <xf numFmtId="164" fontId="65" fillId="19" borderId="5" xfId="3" applyFont="1" applyAlignment="1">
      <alignment vertical="center"/>
    </xf>
    <xf numFmtId="164" fontId="65" fillId="19" borderId="38" xfId="3" applyFont="1" applyBorder="1" applyAlignment="1">
      <alignment vertical="center"/>
    </xf>
    <xf numFmtId="164" fontId="65" fillId="19" borderId="4" xfId="3" applyFont="1" applyBorder="1" applyAlignment="1">
      <alignment vertical="center"/>
    </xf>
    <xf numFmtId="164" fontId="65" fillId="19" borderId="34" xfId="3" applyFont="1" applyBorder="1" applyAlignment="1">
      <alignment vertical="center"/>
    </xf>
    <xf numFmtId="164" fontId="74" fillId="6" borderId="35" xfId="9" applyFont="1" applyBorder="1" applyAlignment="1">
      <alignment vertical="center"/>
    </xf>
    <xf numFmtId="164" fontId="65" fillId="19" borderId="38" xfId="3" applyNumberFormat="1" applyFont="1" applyBorder="1" applyAlignment="1">
      <alignment vertical="center"/>
    </xf>
    <xf numFmtId="164" fontId="74" fillId="6" borderId="15" xfId="9" applyNumberFormat="1" applyFont="1" applyBorder="1" applyAlignment="1">
      <alignment vertical="center"/>
    </xf>
    <xf numFmtId="49" fontId="17" fillId="8" borderId="1" xfId="10" applyFont="1" applyBorder="1">
      <alignment horizontal="left" vertical="center" wrapText="1"/>
    </xf>
    <xf numFmtId="49" fontId="73" fillId="9" borderId="17" xfId="12" applyFont="1" applyBorder="1" applyAlignment="1">
      <alignment horizontal="center" vertical="center" wrapText="1"/>
    </xf>
    <xf numFmtId="49" fontId="69" fillId="9" borderId="17" xfId="12" applyFont="1" applyBorder="1" applyAlignment="1">
      <alignment horizontal="center" vertical="center" wrapText="1"/>
    </xf>
    <xf numFmtId="164" fontId="17" fillId="19" borderId="1" xfId="3" applyFont="1" applyBorder="1" applyAlignment="1">
      <alignment vertical="center"/>
    </xf>
    <xf numFmtId="164" fontId="67" fillId="16" borderId="1" xfId="9" applyFont="1" applyFill="1" applyBorder="1" applyAlignment="1">
      <alignment vertical="center"/>
    </xf>
    <xf numFmtId="49" fontId="36" fillId="8" borderId="11" xfId="10" applyBorder="1">
      <alignment horizontal="left" vertical="center" wrapText="1"/>
    </xf>
    <xf numFmtId="49" fontId="67" fillId="6" borderId="1" xfId="11" applyFont="1" applyBorder="1">
      <alignment horizontal="left" vertical="center" wrapText="1"/>
    </xf>
    <xf numFmtId="49" fontId="36" fillId="8" borderId="1" xfId="10" applyBorder="1">
      <alignment horizontal="left" vertical="center" wrapText="1"/>
    </xf>
    <xf numFmtId="164" fontId="68" fillId="19" borderId="1" xfId="3" applyFont="1" applyBorder="1" applyAlignment="1" applyProtection="1">
      <alignment vertical="center"/>
    </xf>
    <xf numFmtId="49" fontId="16" fillId="8" borderId="11" xfId="10" applyFont="1" applyBorder="1">
      <alignment horizontal="left" vertical="center" wrapText="1"/>
    </xf>
    <xf numFmtId="49" fontId="16" fillId="8" borderId="51" xfId="10" applyFont="1" applyBorder="1">
      <alignment horizontal="left" vertical="center" wrapText="1"/>
    </xf>
    <xf numFmtId="49" fontId="16" fillId="6" borderId="1" xfId="11" applyFont="1" applyBorder="1">
      <alignment horizontal="left" vertical="center" wrapText="1"/>
    </xf>
    <xf numFmtId="49" fontId="16" fillId="8" borderId="1" xfId="10" applyFont="1" applyBorder="1" applyAlignment="1" applyProtection="1">
      <alignment horizontal="left" vertical="center" wrapText="1"/>
    </xf>
    <xf numFmtId="164" fontId="87" fillId="15" borderId="1" xfId="9" applyFont="1" applyFill="1" applyBorder="1" applyAlignment="1" applyProtection="1">
      <alignment vertical="center"/>
    </xf>
    <xf numFmtId="164" fontId="86" fillId="15" borderId="1" xfId="9" applyFont="1" applyFill="1" applyBorder="1" applyAlignment="1" applyProtection="1">
      <alignment vertical="center"/>
    </xf>
    <xf numFmtId="164" fontId="74" fillId="17" borderId="11" xfId="5" applyFont="1" applyBorder="1" applyAlignment="1">
      <alignment vertical="center"/>
    </xf>
    <xf numFmtId="164" fontId="74" fillId="17" borderId="1" xfId="5" applyFont="1" applyAlignment="1">
      <alignment vertical="center"/>
    </xf>
    <xf numFmtId="164" fontId="74" fillId="6" borderId="1" xfId="9" applyFont="1" applyBorder="1" applyAlignment="1">
      <alignment vertical="center"/>
    </xf>
    <xf numFmtId="164" fontId="65" fillId="21" borderId="1" xfId="3" applyFont="1" applyFill="1" applyBorder="1" applyAlignment="1">
      <alignment vertical="center"/>
    </xf>
    <xf numFmtId="164" fontId="74" fillId="16" borderId="1" xfId="9" applyFont="1" applyFill="1" applyBorder="1" applyAlignment="1">
      <alignment vertical="center"/>
    </xf>
    <xf numFmtId="3" fontId="39" fillId="0" borderId="0" xfId="0" applyNumberFormat="1" applyFont="1"/>
    <xf numFmtId="49" fontId="68" fillId="0" borderId="0" xfId="12" applyFont="1" applyFill="1" applyBorder="1" applyAlignment="1" applyProtection="1">
      <alignment horizontal="center" vertical="center"/>
    </xf>
    <xf numFmtId="164" fontId="73" fillId="15" borderId="1" xfId="9" applyFont="1" applyFill="1" applyBorder="1" applyAlignment="1">
      <alignment vertical="center"/>
    </xf>
    <xf numFmtId="49" fontId="15" fillId="8" borderId="1" xfId="10" applyFont="1" applyBorder="1">
      <alignment horizontal="left" vertical="center" wrapText="1"/>
    </xf>
    <xf numFmtId="164" fontId="82" fillId="19" borderId="1" xfId="3" applyFont="1" applyBorder="1" applyAlignment="1">
      <alignment vertical="center"/>
    </xf>
    <xf numFmtId="0" fontId="45" fillId="0" borderId="0" xfId="8" applyFont="1" applyAlignment="1">
      <alignment vertical="center"/>
    </xf>
    <xf numFmtId="49" fontId="68" fillId="0" borderId="9" xfId="12" applyFont="1" applyFill="1" applyBorder="1" applyAlignment="1">
      <alignment horizontal="center" vertical="center"/>
    </xf>
    <xf numFmtId="164" fontId="73" fillId="17" borderId="11" xfId="5" applyFont="1" applyBorder="1" applyAlignment="1">
      <alignment vertical="center"/>
    </xf>
    <xf numFmtId="164" fontId="73" fillId="17" borderId="1" xfId="5" applyFont="1" applyAlignment="1">
      <alignment vertical="center"/>
    </xf>
    <xf numFmtId="0" fontId="42" fillId="0" borderId="0" xfId="0" applyFont="1" applyAlignment="1">
      <alignment wrapText="1"/>
    </xf>
    <xf numFmtId="49" fontId="36" fillId="8" borderId="1" xfId="10" applyBorder="1">
      <alignment horizontal="left" vertical="center" wrapText="1"/>
    </xf>
    <xf numFmtId="49" fontId="36" fillId="8" borderId="11" xfId="10" applyBorder="1">
      <alignment horizontal="left" vertical="center" wrapText="1"/>
    </xf>
    <xf numFmtId="49" fontId="14" fillId="8" borderId="1" xfId="10" applyFont="1" applyBorder="1">
      <alignment horizontal="left" vertical="center" wrapText="1"/>
    </xf>
    <xf numFmtId="49" fontId="14" fillId="8" borderId="49" xfId="10" applyFont="1" applyBorder="1" applyAlignment="1">
      <alignment horizontal="left" vertical="center" wrapText="1"/>
    </xf>
    <xf numFmtId="49" fontId="67" fillId="6" borderId="1" xfId="11" applyFont="1" applyBorder="1" applyAlignment="1">
      <alignment horizontal="center" vertical="center" wrapText="1"/>
    </xf>
    <xf numFmtId="49" fontId="74" fillId="9" borderId="1" xfId="12" applyFont="1" applyAlignment="1">
      <alignment horizontal="center" vertical="center" wrapText="1"/>
    </xf>
    <xf numFmtId="49" fontId="67" fillId="8" borderId="17" xfId="10" applyFont="1" applyBorder="1" applyAlignment="1">
      <alignment horizontal="center" vertical="center" wrapText="1"/>
    </xf>
    <xf numFmtId="49" fontId="13" fillId="8" borderId="1" xfId="10" applyFont="1" applyBorder="1">
      <alignment horizontal="left" vertical="center" wrapText="1"/>
    </xf>
    <xf numFmtId="0" fontId="65" fillId="4" borderId="1" xfId="6" applyFont="1" applyBorder="1" applyAlignment="1">
      <alignment wrapText="1"/>
    </xf>
    <xf numFmtId="165" fontId="67" fillId="11" borderId="1" xfId="6" applyNumberFormat="1" applyFont="1" applyFill="1" applyBorder="1" applyAlignment="1">
      <alignment horizontal="center" vertical="center"/>
    </xf>
    <xf numFmtId="165" fontId="67" fillId="12" borderId="1" xfId="6" applyNumberFormat="1" applyFont="1" applyFill="1" applyBorder="1" applyAlignment="1">
      <alignment horizontal="center" vertical="center"/>
    </xf>
    <xf numFmtId="165" fontId="67" fillId="14" borderId="1" xfId="6" applyNumberFormat="1" applyFont="1" applyFill="1" applyBorder="1" applyAlignment="1">
      <alignment horizontal="center" vertical="center"/>
    </xf>
    <xf numFmtId="165" fontId="67" fillId="13" borderId="1" xfId="6" applyNumberFormat="1" applyFont="1" applyFill="1" applyBorder="1" applyAlignment="1">
      <alignment horizontal="center" vertical="center"/>
    </xf>
    <xf numFmtId="165" fontId="67" fillId="7" borderId="1" xfId="6" applyNumberFormat="1" applyFont="1" applyFill="1" applyBorder="1" applyAlignment="1">
      <alignment horizontal="center" vertical="center"/>
    </xf>
    <xf numFmtId="0" fontId="67" fillId="20" borderId="1" xfId="6" applyFont="1" applyFill="1" applyBorder="1" applyAlignment="1">
      <alignment wrapText="1"/>
    </xf>
    <xf numFmtId="165" fontId="67" fillId="20" borderId="1" xfId="0" applyNumberFormat="1" applyFont="1" applyFill="1" applyBorder="1" applyAlignment="1">
      <alignment horizontal="center" vertical="center"/>
    </xf>
    <xf numFmtId="0" fontId="65" fillId="0" borderId="0" xfId="0" applyFont="1" applyAlignment="1">
      <alignment horizontal="center" vertical="center"/>
    </xf>
    <xf numFmtId="49" fontId="71" fillId="10" borderId="1" xfId="13" applyFont="1" applyBorder="1" applyAlignment="1" applyProtection="1">
      <alignment horizontal="left" vertical="center" wrapText="1"/>
    </xf>
    <xf numFmtId="49" fontId="71" fillId="10" borderId="1" xfId="13" applyFont="1" applyBorder="1">
      <alignment horizontal="left" vertical="center" wrapText="1"/>
    </xf>
    <xf numFmtId="49" fontId="71" fillId="15" borderId="1" xfId="13" applyFont="1" applyFill="1" applyBorder="1" applyAlignment="1" applyProtection="1">
      <alignment horizontal="left" vertical="center" wrapText="1"/>
    </xf>
    <xf numFmtId="49" fontId="71" fillId="10" borderId="48" xfId="13" applyFont="1" applyBorder="1">
      <alignment horizontal="left" vertical="center" wrapText="1"/>
    </xf>
    <xf numFmtId="49" fontId="71" fillId="10" borderId="46" xfId="13" applyFont="1" applyBorder="1">
      <alignment horizontal="left" vertical="center" wrapText="1"/>
    </xf>
    <xf numFmtId="164" fontId="71" fillId="15" borderId="3" xfId="9" applyFont="1" applyFill="1" applyBorder="1" applyAlignment="1">
      <alignment vertical="center"/>
    </xf>
    <xf numFmtId="0" fontId="88" fillId="0" borderId="0" xfId="0" applyFont="1"/>
    <xf numFmtId="0" fontId="43" fillId="0" borderId="0" xfId="0" applyFont="1" applyAlignment="1">
      <alignment horizontal="left" vertical="center"/>
    </xf>
    <xf numFmtId="49" fontId="35" fillId="8" borderId="1" xfId="1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49" fontId="13" fillId="8" borderId="1" xfId="10" applyFont="1" applyBorder="1" applyAlignment="1">
      <alignment horizontal="left" vertical="center" wrapText="1"/>
    </xf>
    <xf numFmtId="49" fontId="72" fillId="8" borderId="44" xfId="10" applyFont="1" applyBorder="1">
      <alignment horizontal="left" vertical="center" wrapText="1"/>
    </xf>
    <xf numFmtId="49" fontId="89" fillId="0" borderId="22" xfId="10" applyFont="1" applyFill="1" applyBorder="1">
      <alignment horizontal="left" vertical="center" wrapText="1"/>
    </xf>
    <xf numFmtId="49" fontId="90" fillId="0" borderId="22" xfId="10" applyFont="1" applyFill="1" applyBorder="1">
      <alignment horizontal="left" vertical="center" wrapText="1"/>
    </xf>
    <xf numFmtId="49" fontId="91" fillId="0" borderId="23" xfId="10" applyFont="1" applyFill="1" applyBorder="1">
      <alignment horizontal="left" vertical="center" wrapText="1"/>
    </xf>
    <xf numFmtId="49" fontId="72" fillId="9" borderId="15" xfId="12" applyFont="1" applyBorder="1">
      <alignment horizontal="center" vertical="center"/>
    </xf>
    <xf numFmtId="49" fontId="12" fillId="8" borderId="1" xfId="10" applyFont="1" applyBorder="1">
      <alignment horizontal="left" vertical="center" wrapText="1"/>
    </xf>
    <xf numFmtId="164" fontId="73" fillId="17" borderId="1" xfId="5" applyNumberFormat="1" applyFont="1" applyAlignment="1">
      <alignment vertical="center"/>
    </xf>
    <xf numFmtId="164" fontId="68" fillId="17" borderId="1" xfId="5" applyFont="1" applyAlignment="1">
      <alignment vertical="center"/>
    </xf>
    <xf numFmtId="164" fontId="65" fillId="17" borderId="1" xfId="5" applyFont="1" applyAlignment="1">
      <alignment vertical="center"/>
    </xf>
    <xf numFmtId="164" fontId="69" fillId="17" borderId="11" xfId="5" applyFont="1" applyBorder="1" applyAlignment="1">
      <alignment vertical="center"/>
    </xf>
    <xf numFmtId="49" fontId="69" fillId="6" borderId="1" xfId="11" applyFont="1" applyBorder="1" applyAlignment="1">
      <alignment horizontal="left" vertical="center" wrapText="1"/>
    </xf>
    <xf numFmtId="49" fontId="69" fillId="6" borderId="1" xfId="11" applyFont="1" applyBorder="1" applyAlignment="1">
      <alignment vertical="center" wrapText="1"/>
    </xf>
    <xf numFmtId="49" fontId="69" fillId="10" borderId="1" xfId="13" applyFont="1" applyBorder="1" applyAlignment="1">
      <alignment horizontal="left" vertical="center" wrapText="1"/>
    </xf>
    <xf numFmtId="49" fontId="69" fillId="8" borderId="11" xfId="10" applyFont="1" applyBorder="1" applyAlignment="1">
      <alignment horizontal="left" vertical="center" wrapText="1"/>
    </xf>
    <xf numFmtId="164" fontId="69" fillId="6" borderId="11" xfId="9" applyFont="1" applyBorder="1" applyAlignment="1">
      <alignment vertical="center"/>
    </xf>
    <xf numFmtId="49" fontId="69" fillId="8" borderId="17" xfId="10" applyFont="1" applyBorder="1">
      <alignment horizontal="left" vertical="center" wrapText="1"/>
    </xf>
    <xf numFmtId="49" fontId="69" fillId="8" borderId="17" xfId="10" applyFont="1" applyBorder="1" applyAlignment="1">
      <alignment horizontal="center" vertical="center" wrapText="1"/>
    </xf>
    <xf numFmtId="49" fontId="67" fillId="6" borderId="1" xfId="11" applyFont="1" applyBorder="1">
      <alignment horizontal="left" vertical="center" wrapText="1"/>
    </xf>
    <xf numFmtId="164" fontId="68" fillId="19" borderId="1" xfId="3" applyFont="1" applyBorder="1" applyAlignment="1" applyProtection="1">
      <alignment vertical="center"/>
    </xf>
    <xf numFmtId="164" fontId="81" fillId="19" borderId="1" xfId="3" applyFont="1" applyBorder="1" applyAlignment="1" applyProtection="1">
      <alignment vertical="center"/>
    </xf>
    <xf numFmtId="49" fontId="11" fillId="8" borderId="1" xfId="10" applyFont="1" applyBorder="1">
      <alignment horizontal="left" vertical="center" wrapText="1"/>
    </xf>
    <xf numFmtId="164" fontId="81" fillId="19" borderId="1" xfId="3" applyFont="1" applyBorder="1" applyAlignment="1">
      <alignment vertical="center"/>
    </xf>
    <xf numFmtId="164" fontId="11" fillId="19" borderId="1" xfId="3" applyFont="1" applyBorder="1" applyAlignment="1">
      <alignment vertical="center"/>
    </xf>
    <xf numFmtId="164" fontId="11" fillId="8" borderId="17" xfId="10" applyNumberFormat="1" applyFont="1" applyBorder="1" applyAlignment="1">
      <alignment horizontal="center" vertical="center" wrapText="1"/>
    </xf>
    <xf numFmtId="49" fontId="11" fillId="8" borderId="49" xfId="10" applyFont="1" applyBorder="1" applyAlignment="1">
      <alignment horizontal="left" vertical="center" wrapText="1"/>
    </xf>
    <xf numFmtId="164" fontId="11" fillId="19" borderId="1" xfId="3" applyFont="1" applyBorder="1"/>
    <xf numFmtId="49" fontId="67" fillId="6" borderId="4" xfId="11" applyFont="1" applyBorder="1" applyAlignment="1">
      <alignment horizontal="center" vertical="center" wrapText="1"/>
    </xf>
    <xf numFmtId="49" fontId="67" fillId="10" borderId="1" xfId="13" applyBorder="1">
      <alignment horizontal="left" vertical="center" wrapText="1"/>
    </xf>
    <xf numFmtId="49" fontId="36" fillId="8" borderId="4" xfId="10" applyBorder="1" applyAlignment="1">
      <alignment horizontal="center" vertical="center" wrapText="1"/>
    </xf>
    <xf numFmtId="49" fontId="74" fillId="9" borderId="2" xfId="12" applyFont="1" applyBorder="1" applyAlignment="1">
      <alignment horizontal="center" vertical="center" wrapText="1"/>
    </xf>
    <xf numFmtId="49" fontId="74" fillId="9" borderId="2" xfId="12" applyFont="1" applyBorder="1" applyAlignment="1">
      <alignment horizontal="center" vertical="center"/>
    </xf>
    <xf numFmtId="49" fontId="10" fillId="8" borderId="1" xfId="10" applyFont="1" applyBorder="1">
      <alignment horizontal="left" vertical="center" wrapText="1"/>
    </xf>
    <xf numFmtId="49" fontId="9" fillId="8" borderId="49" xfId="10" applyFont="1" applyBorder="1">
      <alignment horizontal="left" vertical="center" wrapText="1"/>
    </xf>
    <xf numFmtId="49" fontId="9" fillId="8" borderId="1" xfId="10" applyFont="1" applyBorder="1">
      <alignment horizontal="left" vertical="center" wrapText="1"/>
    </xf>
    <xf numFmtId="164" fontId="55" fillId="0" borderId="0" xfId="0" applyNumberFormat="1" applyFont="1"/>
    <xf numFmtId="164" fontId="55" fillId="0" borderId="0" xfId="0" applyNumberFormat="1" applyFont="1" applyFill="1"/>
    <xf numFmtId="164" fontId="40" fillId="0" borderId="0" xfId="0" applyNumberFormat="1" applyFont="1"/>
    <xf numFmtId="164" fontId="56" fillId="0" borderId="0" xfId="0" applyNumberFormat="1" applyFont="1"/>
    <xf numFmtId="49" fontId="73" fillId="9" borderId="65" xfId="12" applyFont="1" applyBorder="1" applyAlignment="1">
      <alignment horizontal="center" vertical="center" wrapText="1"/>
    </xf>
    <xf numFmtId="49" fontId="73" fillId="9" borderId="1" xfId="12" applyFont="1" applyBorder="1" applyAlignment="1">
      <alignment horizontal="center" vertical="center"/>
    </xf>
    <xf numFmtId="49" fontId="9" fillId="8" borderId="1" xfId="10" applyFont="1" applyBorder="1" applyAlignment="1">
      <alignment vertical="center" wrapText="1"/>
    </xf>
    <xf numFmtId="49" fontId="76" fillId="8" borderId="3" xfId="10" applyFont="1" applyBorder="1">
      <alignment horizontal="left" vertical="center" wrapText="1"/>
    </xf>
    <xf numFmtId="164" fontId="20" fillId="8" borderId="40" xfId="10" applyNumberFormat="1" applyFont="1" applyBorder="1" applyAlignment="1">
      <alignment horizontal="center" vertical="center" wrapText="1"/>
    </xf>
    <xf numFmtId="164" fontId="8" fillId="8" borderId="17" xfId="10" applyNumberFormat="1" applyFont="1" applyBorder="1" applyAlignment="1">
      <alignment horizontal="center" vertical="center" wrapText="1"/>
    </xf>
    <xf numFmtId="49" fontId="67" fillId="6" borderId="1" xfId="11" applyFont="1" applyBorder="1">
      <alignment horizontal="left" vertical="center" wrapText="1"/>
    </xf>
    <xf numFmtId="49" fontId="7" fillId="8" borderId="49" xfId="10" applyFont="1" applyBorder="1">
      <alignment horizontal="left" vertical="center" wrapText="1"/>
    </xf>
    <xf numFmtId="49" fontId="7" fillId="8" borderId="1" xfId="10" applyFont="1" applyBorder="1">
      <alignment horizontal="left" vertical="center" wrapText="1"/>
    </xf>
    <xf numFmtId="49" fontId="6" fillId="8" borderId="1" xfId="10" applyFont="1" applyBorder="1">
      <alignment horizontal="left" vertical="center" wrapText="1"/>
    </xf>
    <xf numFmtId="49" fontId="67" fillId="6" borderId="1" xfId="11" applyFont="1" applyBorder="1">
      <alignment horizontal="left" vertical="center" wrapText="1"/>
    </xf>
    <xf numFmtId="49" fontId="36" fillId="8" borderId="1" xfId="10" applyBorder="1">
      <alignment horizontal="left" vertical="center" wrapText="1"/>
    </xf>
    <xf numFmtId="164" fontId="46" fillId="0" borderId="0" xfId="8" applyNumberFormat="1" applyFont="1" applyAlignment="1">
      <alignment vertical="center"/>
    </xf>
    <xf numFmtId="49" fontId="94" fillId="9" borderId="1" xfId="12" applyFont="1" applyAlignment="1">
      <alignment horizontal="center" vertical="center" wrapText="1"/>
    </xf>
    <xf numFmtId="164" fontId="68" fillId="19" borderId="1" xfId="3" applyFont="1" applyBorder="1" applyAlignment="1" applyProtection="1">
      <alignment vertical="center"/>
    </xf>
    <xf numFmtId="164" fontId="5" fillId="19" borderId="1" xfId="3" applyFont="1" applyBorder="1" applyAlignment="1">
      <alignment vertical="center"/>
    </xf>
    <xf numFmtId="164" fontId="5" fillId="19" borderId="1" xfId="3" applyFont="1" applyBorder="1"/>
    <xf numFmtId="164" fontId="65" fillId="17" borderId="1" xfId="3" applyFont="1" applyFill="1" applyBorder="1" applyAlignment="1">
      <alignment vertical="center"/>
    </xf>
    <xf numFmtId="164" fontId="65" fillId="17" borderId="3" xfId="3" applyFont="1" applyFill="1" applyBorder="1" applyAlignment="1">
      <alignment vertical="center"/>
    </xf>
    <xf numFmtId="49" fontId="5" fillId="8" borderId="1" xfId="10" applyFont="1" applyBorder="1">
      <alignment horizontal="left" vertical="center" wrapText="1"/>
    </xf>
    <xf numFmtId="164" fontId="65" fillId="19" borderId="39" xfId="3" applyFont="1" applyBorder="1" applyAlignment="1">
      <alignment vertical="center"/>
    </xf>
    <xf numFmtId="164" fontId="67" fillId="6" borderId="3" xfId="9" applyFont="1" applyBorder="1" applyAlignment="1">
      <alignment vertical="center"/>
    </xf>
    <xf numFmtId="164" fontId="67" fillId="16" borderId="3" xfId="9" applyFont="1" applyFill="1" applyBorder="1" applyAlignment="1">
      <alignment vertical="center"/>
    </xf>
    <xf numFmtId="164" fontId="65" fillId="19" borderId="11" xfId="3" applyFont="1" applyBorder="1" applyAlignment="1">
      <alignment vertical="center"/>
    </xf>
    <xf numFmtId="49" fontId="4" fillId="8" borderId="49" xfId="10" applyFont="1" applyBorder="1">
      <alignment horizontal="left" vertical="center" wrapText="1"/>
    </xf>
    <xf numFmtId="49" fontId="3" fillId="8" borderId="1" xfId="10" applyFont="1" applyBorder="1">
      <alignment horizontal="left" vertical="center" wrapText="1"/>
    </xf>
    <xf numFmtId="49" fontId="2" fillId="8" borderId="1" xfId="10" applyFont="1" applyBorder="1">
      <alignment horizontal="left" vertical="center" wrapText="1"/>
    </xf>
    <xf numFmtId="49" fontId="36" fillId="8" borderId="1" xfId="10" applyBorder="1">
      <alignment horizontal="left" vertical="center" wrapText="1"/>
    </xf>
    <xf numFmtId="49" fontId="72" fillId="9" borderId="2" xfId="12" applyFont="1" applyBorder="1">
      <alignment horizontal="center" vertical="center"/>
    </xf>
    <xf numFmtId="49" fontId="67" fillId="6" borderId="1" xfId="11" applyFont="1" applyBorder="1">
      <alignment horizontal="left" vertical="center" wrapText="1"/>
    </xf>
    <xf numFmtId="49" fontId="67" fillId="6" borderId="49" xfId="11" applyFont="1" applyBorder="1">
      <alignment horizontal="left" vertical="center" wrapText="1"/>
    </xf>
    <xf numFmtId="49" fontId="36" fillId="8" borderId="1" xfId="10" applyBorder="1">
      <alignment horizontal="left" vertical="center" wrapText="1"/>
    </xf>
    <xf numFmtId="49" fontId="36" fillId="8" borderId="49" xfId="10" applyBorder="1">
      <alignment horizontal="left" vertical="center" wrapText="1"/>
    </xf>
    <xf numFmtId="49" fontId="29" fillId="8" borderId="1" xfId="10" applyFont="1" applyBorder="1">
      <alignment horizontal="left" vertical="center" wrapText="1"/>
    </xf>
    <xf numFmtId="49" fontId="37" fillId="6" borderId="1" xfId="11" applyBorder="1">
      <alignment horizontal="left" vertical="center" wrapText="1"/>
    </xf>
    <xf numFmtId="49" fontId="37" fillId="6" borderId="49" xfId="11" applyBorder="1">
      <alignment horizontal="left" vertical="center" wrapText="1"/>
    </xf>
    <xf numFmtId="49" fontId="72" fillId="9" borderId="4" xfId="12" applyFont="1" applyFill="1" applyBorder="1" applyAlignment="1">
      <alignment horizontal="center" vertical="center" wrapText="1"/>
    </xf>
    <xf numFmtId="49" fontId="72" fillId="9" borderId="9" xfId="12" applyFont="1" applyFill="1" applyBorder="1" applyAlignment="1">
      <alignment horizontal="center" vertical="center" wrapText="1"/>
    </xf>
    <xf numFmtId="49" fontId="72" fillId="9" borderId="64" xfId="12" applyFont="1" applyFill="1" applyBorder="1" applyAlignment="1">
      <alignment horizontal="center" vertical="center" wrapText="1"/>
    </xf>
    <xf numFmtId="49" fontId="72" fillId="9" borderId="38" xfId="12" applyFont="1" applyBorder="1" applyAlignment="1">
      <alignment horizontal="center" vertical="center"/>
    </xf>
    <xf numFmtId="49" fontId="72" fillId="9" borderId="24" xfId="12" applyFont="1" applyBorder="1" applyAlignment="1">
      <alignment horizontal="center" vertical="center"/>
    </xf>
    <xf numFmtId="49" fontId="72" fillId="9" borderId="39" xfId="12" applyFont="1" applyBorder="1" applyAlignment="1">
      <alignment horizontal="center" vertical="center"/>
    </xf>
    <xf numFmtId="49" fontId="71" fillId="15" borderId="1" xfId="13" applyFont="1" applyFill="1" applyBorder="1">
      <alignment horizontal="left" vertical="center" wrapText="1"/>
    </xf>
    <xf numFmtId="49" fontId="71" fillId="15" borderId="49" xfId="13" applyFont="1" applyFill="1" applyBorder="1">
      <alignment horizontal="left" vertical="center" wrapText="1"/>
    </xf>
    <xf numFmtId="49" fontId="67" fillId="10" borderId="1" xfId="13" applyFont="1" applyBorder="1">
      <alignment horizontal="left" vertical="center" wrapText="1"/>
    </xf>
    <xf numFmtId="49" fontId="67" fillId="10" borderId="49" xfId="13" applyFont="1" applyBorder="1">
      <alignment horizontal="left" vertical="center" wrapText="1"/>
    </xf>
    <xf numFmtId="49" fontId="72" fillId="9" borderId="1" xfId="12" applyFont="1">
      <alignment horizontal="center" vertical="center"/>
    </xf>
    <xf numFmtId="49" fontId="73" fillId="9" borderId="35" xfId="12" applyFont="1" applyBorder="1" applyAlignment="1">
      <alignment horizontal="center" vertical="center" wrapText="1"/>
    </xf>
    <xf numFmtId="49" fontId="73" fillId="9" borderId="36" xfId="12" applyFont="1" applyBorder="1" applyAlignment="1">
      <alignment horizontal="center" vertical="center" wrapText="1"/>
    </xf>
    <xf numFmtId="49" fontId="73" fillId="9" borderId="37" xfId="12" applyFont="1" applyBorder="1" applyAlignment="1">
      <alignment horizontal="center" vertical="center" wrapText="1"/>
    </xf>
    <xf numFmtId="49" fontId="69" fillId="15" borderId="1" xfId="10" applyFont="1" applyFill="1" applyBorder="1">
      <alignment horizontal="left" vertical="center" wrapText="1"/>
    </xf>
    <xf numFmtId="49" fontId="67" fillId="6" borderId="4" xfId="11" applyFont="1" applyBorder="1" applyAlignment="1">
      <alignment horizontal="left" vertical="center" wrapText="1"/>
    </xf>
    <xf numFmtId="49" fontId="67" fillId="6" borderId="3" xfId="11" applyFont="1" applyBorder="1" applyAlignment="1">
      <alignment horizontal="left" vertical="center" wrapText="1"/>
    </xf>
    <xf numFmtId="49" fontId="67" fillId="10" borderId="4" xfId="13" applyBorder="1" applyAlignment="1">
      <alignment horizontal="left" vertical="center" wrapText="1"/>
    </xf>
    <xf numFmtId="49" fontId="67" fillId="10" borderId="3" xfId="13" applyBorder="1" applyAlignment="1">
      <alignment horizontal="left" vertical="center" wrapText="1"/>
    </xf>
    <xf numFmtId="49" fontId="72" fillId="9" borderId="1" xfId="12" applyFont="1" applyAlignment="1" applyProtection="1">
      <alignment horizontal="center" vertical="center"/>
    </xf>
    <xf numFmtId="164" fontId="68" fillId="19" borderId="1" xfId="3" applyFont="1" applyBorder="1" applyAlignment="1" applyProtection="1">
      <alignment vertical="center"/>
    </xf>
    <xf numFmtId="164" fontId="82" fillId="19" borderId="1" xfId="3" applyFont="1" applyBorder="1" applyAlignment="1" applyProtection="1">
      <alignment vertical="center"/>
    </xf>
    <xf numFmtId="49" fontId="72" fillId="9" borderId="11" xfId="12" applyFont="1" applyBorder="1">
      <alignment horizontal="center" vertical="center"/>
    </xf>
    <xf numFmtId="164" fontId="71" fillId="12" borderId="1" xfId="10" applyNumberFormat="1" applyFont="1" applyFill="1" applyBorder="1" applyAlignment="1">
      <alignment horizontal="center" vertical="center" wrapText="1"/>
    </xf>
    <xf numFmtId="164" fontId="71" fillId="13" borderId="4" xfId="10" applyNumberFormat="1" applyFont="1" applyFill="1" applyBorder="1" applyAlignment="1">
      <alignment horizontal="center" vertical="center" wrapText="1"/>
    </xf>
    <xf numFmtId="164" fontId="71" fillId="13" borderId="9" xfId="10" applyNumberFormat="1" applyFont="1" applyFill="1" applyBorder="1" applyAlignment="1">
      <alignment horizontal="center" vertical="center" wrapText="1"/>
    </xf>
    <xf numFmtId="164" fontId="71" fillId="13" borderId="3" xfId="10" applyNumberFormat="1" applyFont="1" applyFill="1" applyBorder="1" applyAlignment="1">
      <alignment horizontal="center" vertical="center" wrapText="1"/>
    </xf>
    <xf numFmtId="164" fontId="71" fillId="14" borderId="4" xfId="10" applyNumberFormat="1" applyFont="1" applyFill="1" applyBorder="1" applyAlignment="1">
      <alignment horizontal="center" vertical="center" wrapText="1"/>
    </xf>
    <xf numFmtId="164" fontId="71" fillId="14" borderId="9" xfId="10" applyNumberFormat="1" applyFont="1" applyFill="1" applyBorder="1" applyAlignment="1">
      <alignment horizontal="center" vertical="center" wrapText="1"/>
    </xf>
    <xf numFmtId="164" fontId="71" fillId="14" borderId="3" xfId="10" applyNumberFormat="1" applyFont="1" applyFill="1" applyBorder="1" applyAlignment="1">
      <alignment horizontal="center" vertical="center" wrapText="1"/>
    </xf>
    <xf numFmtId="49" fontId="71" fillId="11" borderId="1" xfId="10" applyFont="1" applyFill="1" applyBorder="1" applyAlignment="1">
      <alignment horizontal="center" vertical="center" wrapText="1"/>
    </xf>
    <xf numFmtId="49" fontId="73" fillId="9" borderId="1" xfId="12" applyFont="1">
      <alignment horizontal="center" vertical="center"/>
    </xf>
    <xf numFmtId="49" fontId="73" fillId="9" borderId="0" xfId="12" applyFont="1" applyBorder="1" applyAlignment="1">
      <alignment horizontal="center" vertical="center"/>
    </xf>
    <xf numFmtId="49" fontId="73" fillId="9" borderId="28" xfId="12" applyFont="1" applyBorder="1" applyAlignment="1">
      <alignment horizontal="center" vertical="center"/>
    </xf>
    <xf numFmtId="49" fontId="67" fillId="8" borderId="55" xfId="10" applyFont="1" applyBorder="1" applyAlignment="1">
      <alignment horizontal="center" vertical="center" wrapText="1"/>
    </xf>
    <xf numFmtId="49" fontId="67" fillId="8" borderId="56" xfId="10" applyFont="1" applyBorder="1" applyAlignment="1">
      <alignment horizontal="center" vertical="center" wrapText="1"/>
    </xf>
    <xf numFmtId="49" fontId="67" fillId="8" borderId="57" xfId="10" applyFont="1" applyBorder="1" applyAlignment="1">
      <alignment horizontal="center" vertical="center" wrapText="1"/>
    </xf>
    <xf numFmtId="49" fontId="67" fillId="8" borderId="58" xfId="10" applyFont="1" applyBorder="1" applyAlignment="1">
      <alignment horizontal="center" vertical="center" wrapText="1"/>
    </xf>
    <xf numFmtId="49" fontId="67" fillId="8" borderId="59" xfId="10" applyFont="1" applyBorder="1" applyAlignment="1">
      <alignment horizontal="center" vertical="center" wrapText="1"/>
    </xf>
    <xf numFmtId="49" fontId="67" fillId="8" borderId="60" xfId="10" applyFont="1" applyBorder="1" applyAlignment="1">
      <alignment horizontal="center" vertical="center" wrapText="1"/>
    </xf>
    <xf numFmtId="49" fontId="67" fillId="8" borderId="32" xfId="10" applyFont="1" applyBorder="1" applyAlignment="1">
      <alignment horizontal="center" vertical="center" wrapText="1"/>
    </xf>
    <xf numFmtId="49" fontId="67" fillId="8" borderId="9" xfId="10" applyFont="1" applyBorder="1" applyAlignment="1">
      <alignment horizontal="center" vertical="center" wrapText="1"/>
    </xf>
    <xf numFmtId="49" fontId="67" fillId="8" borderId="25" xfId="10" applyFont="1" applyBorder="1" applyAlignment="1">
      <alignment horizontal="center" vertical="center" wrapText="1"/>
    </xf>
    <xf numFmtId="49" fontId="73" fillId="9" borderId="9" xfId="12" applyFont="1" applyBorder="1">
      <alignment horizontal="center" vertical="center"/>
    </xf>
    <xf numFmtId="49" fontId="73" fillId="9" borderId="3" xfId="12" applyFont="1" applyBorder="1">
      <alignment horizontal="center" vertical="center"/>
    </xf>
    <xf numFmtId="49" fontId="67" fillId="16" borderId="4" xfId="11" applyFont="1" applyFill="1" applyBorder="1" applyAlignment="1">
      <alignment horizontal="center" vertical="center" wrapText="1"/>
    </xf>
    <xf numFmtId="49" fontId="67" fillId="16" borderId="3" xfId="11" applyFont="1" applyFill="1" applyBorder="1" applyAlignment="1">
      <alignment horizontal="center" vertical="center" wrapText="1"/>
    </xf>
    <xf numFmtId="49" fontId="67" fillId="8" borderId="21" xfId="10" applyFont="1" applyBorder="1" applyAlignment="1">
      <alignment horizontal="center" vertical="center" wrapText="1"/>
    </xf>
    <xf numFmtId="49" fontId="67" fillId="8" borderId="23" xfId="10" applyFont="1" applyBorder="1" applyAlignment="1">
      <alignment horizontal="center" vertical="center" wrapText="1"/>
    </xf>
    <xf numFmtId="49" fontId="67" fillId="16" borderId="0" xfId="11" applyFont="1" applyFill="1" applyBorder="1" applyAlignment="1">
      <alignment horizontal="center" vertical="center" wrapText="1"/>
    </xf>
    <xf numFmtId="49" fontId="67" fillId="16" borderId="28" xfId="11" applyFont="1" applyFill="1" applyBorder="1" applyAlignment="1">
      <alignment horizontal="center" vertical="center" wrapText="1"/>
    </xf>
    <xf numFmtId="49" fontId="93" fillId="8" borderId="38" xfId="10" applyFont="1" applyBorder="1" applyAlignment="1">
      <alignment horizontal="center" vertical="center" wrapText="1"/>
    </xf>
    <xf numFmtId="49" fontId="93" fillId="8" borderId="39" xfId="10" applyFont="1" applyBorder="1" applyAlignment="1">
      <alignment horizontal="center" vertical="center" wrapText="1"/>
    </xf>
    <xf numFmtId="49" fontId="93" fillId="8" borderId="38" xfId="10" applyFont="1" applyBorder="1" applyAlignment="1">
      <alignment horizontal="center" vertical="center"/>
    </xf>
    <xf numFmtId="49" fontId="93" fillId="8" borderId="39" xfId="10" applyFont="1" applyBorder="1" applyAlignment="1">
      <alignment horizontal="center" vertical="center"/>
    </xf>
    <xf numFmtId="49" fontId="72" fillId="9" borderId="30" xfId="12" applyFont="1" applyBorder="1" applyAlignment="1">
      <alignment horizontal="center" vertical="center"/>
    </xf>
    <xf numFmtId="49" fontId="72" fillId="9" borderId="31" xfId="12" applyFont="1" applyBorder="1" applyAlignment="1">
      <alignment horizontal="center" vertical="center"/>
    </xf>
    <xf numFmtId="49" fontId="72" fillId="9" borderId="25" xfId="12" applyFont="1" applyBorder="1" applyAlignment="1">
      <alignment horizontal="center" vertical="center"/>
    </xf>
    <xf numFmtId="49" fontId="72" fillId="9" borderId="26" xfId="12" applyFont="1" applyBorder="1" applyAlignment="1">
      <alignment horizontal="center" vertical="center"/>
    </xf>
    <xf numFmtId="49" fontId="72" fillId="9" borderId="26" xfId="12" applyFont="1" applyBorder="1">
      <alignment horizontal="center" vertical="center"/>
    </xf>
    <xf numFmtId="49" fontId="72" fillId="9" borderId="17" xfId="12" applyFont="1" applyBorder="1">
      <alignment horizontal="center" vertical="center"/>
    </xf>
    <xf numFmtId="49" fontId="67" fillId="8" borderId="28" xfId="10" applyFont="1" applyBorder="1" applyAlignment="1">
      <alignment horizontal="center" vertical="center" wrapText="1"/>
    </xf>
    <xf numFmtId="49" fontId="67" fillId="8" borderId="31" xfId="10" applyFont="1" applyBorder="1" applyAlignment="1">
      <alignment horizontal="center" vertical="center" wrapText="1"/>
    </xf>
    <xf numFmtId="49" fontId="67" fillId="16" borderId="9" xfId="11" applyFont="1" applyFill="1" applyBorder="1" applyAlignment="1">
      <alignment horizontal="center" vertical="center" wrapText="1"/>
    </xf>
    <xf numFmtId="49" fontId="67" fillId="6" borderId="1" xfId="11" applyFont="1" applyBorder="1" applyAlignment="1">
      <alignment horizontal="center" vertical="center" wrapText="1"/>
    </xf>
    <xf numFmtId="49" fontId="25" fillId="8" borderId="1" xfId="10" applyFont="1" applyBorder="1">
      <alignment horizontal="left" vertical="center" wrapText="1"/>
    </xf>
    <xf numFmtId="49" fontId="73" fillId="9" borderId="36" xfId="12" applyFont="1" applyBorder="1" applyAlignment="1">
      <alignment horizontal="center" vertical="center"/>
    </xf>
    <xf numFmtId="49" fontId="73" fillId="9" borderId="37" xfId="12" applyFont="1" applyBorder="1" applyAlignment="1">
      <alignment horizontal="center" vertical="center"/>
    </xf>
    <xf numFmtId="49" fontId="73" fillId="9" borderId="4" xfId="12" applyFont="1" applyBorder="1">
      <alignment horizontal="center" vertical="center"/>
    </xf>
    <xf numFmtId="49" fontId="92" fillId="8" borderId="38" xfId="10" applyFont="1" applyBorder="1" applyAlignment="1">
      <alignment horizontal="center" vertical="center" wrapText="1"/>
    </xf>
    <xf numFmtId="49" fontId="92" fillId="8" borderId="39" xfId="10" applyFont="1" applyBorder="1" applyAlignment="1">
      <alignment horizontal="center" vertical="center" wrapText="1"/>
    </xf>
    <xf numFmtId="49" fontId="21" fillId="8" borderId="4" xfId="10" applyFont="1" applyBorder="1" applyAlignment="1">
      <alignment horizontal="center" vertical="center"/>
    </xf>
    <xf numFmtId="49" fontId="24" fillId="8" borderId="9" xfId="10" applyFont="1" applyBorder="1" applyAlignment="1">
      <alignment horizontal="center" vertical="center"/>
    </xf>
    <xf numFmtId="49" fontId="24" fillId="8" borderId="3" xfId="10" applyFont="1" applyBorder="1" applyAlignment="1">
      <alignment horizontal="center" vertical="center"/>
    </xf>
    <xf numFmtId="49" fontId="67" fillId="22" borderId="4" xfId="11" applyFont="1" applyFill="1" applyBorder="1" applyAlignment="1">
      <alignment horizontal="left" vertical="center" wrapText="1"/>
    </xf>
    <xf numFmtId="49" fontId="67" fillId="22" borderId="9" xfId="11" applyFont="1" applyFill="1" applyBorder="1" applyAlignment="1">
      <alignment horizontal="left" vertical="center" wrapText="1"/>
    </xf>
    <xf numFmtId="49" fontId="67" fillId="22" borderId="3" xfId="11" applyFont="1" applyFill="1" applyBorder="1" applyAlignment="1">
      <alignment horizontal="left" vertical="center" wrapText="1"/>
    </xf>
    <xf numFmtId="49" fontId="67" fillId="6" borderId="4" xfId="11" applyFont="1" applyBorder="1" applyAlignment="1">
      <alignment horizontal="center" vertical="center" wrapText="1"/>
    </xf>
    <xf numFmtId="49" fontId="67" fillId="6" borderId="9" xfId="11" applyFont="1" applyBorder="1" applyAlignment="1">
      <alignment horizontal="center" vertical="center" wrapText="1"/>
    </xf>
    <xf numFmtId="49" fontId="67" fillId="6" borderId="3" xfId="11" applyFont="1" applyBorder="1" applyAlignment="1">
      <alignment horizontal="center" vertical="center" wrapText="1"/>
    </xf>
    <xf numFmtId="49" fontId="67" fillId="22" borderId="1" xfId="11" applyFont="1" applyFill="1" applyBorder="1">
      <alignment horizontal="left" vertical="center" wrapText="1"/>
    </xf>
    <xf numFmtId="49" fontId="21" fillId="8" borderId="4" xfId="10" applyFont="1" applyBorder="1" applyAlignment="1">
      <alignment horizontal="left" vertical="center"/>
    </xf>
    <xf numFmtId="49" fontId="24" fillId="8" borderId="9" xfId="10" applyFont="1" applyBorder="1" applyAlignment="1">
      <alignment horizontal="left" vertical="center"/>
    </xf>
    <xf numFmtId="49" fontId="24" fillId="8" borderId="3" xfId="10" applyFont="1" applyBorder="1" applyAlignment="1">
      <alignment horizontal="left" vertical="center"/>
    </xf>
    <xf numFmtId="49" fontId="24" fillId="8" borderId="4" xfId="10" applyFont="1" applyBorder="1" applyAlignment="1">
      <alignment horizontal="left" vertical="center"/>
    </xf>
    <xf numFmtId="49" fontId="25" fillId="8" borderId="4" xfId="10" applyFont="1" applyBorder="1" applyAlignment="1">
      <alignment horizontal="left" vertical="center" wrapText="1"/>
    </xf>
    <xf numFmtId="49" fontId="25" fillId="8" borderId="9" xfId="10" applyFont="1" applyBorder="1" applyAlignment="1">
      <alignment horizontal="left" vertical="center" wrapText="1"/>
    </xf>
    <xf numFmtId="49" fontId="25" fillId="8" borderId="3" xfId="10" applyFont="1" applyBorder="1" applyAlignment="1">
      <alignment horizontal="left" vertical="center" wrapText="1"/>
    </xf>
    <xf numFmtId="49" fontId="25" fillId="8" borderId="0" xfId="10" applyFont="1" applyBorder="1" applyAlignment="1">
      <alignment horizontal="left" vertical="center" wrapText="1"/>
    </xf>
    <xf numFmtId="49" fontId="25" fillId="8" borderId="28" xfId="10" applyFont="1" applyBorder="1" applyAlignment="1">
      <alignment horizontal="left" vertical="center" wrapText="1"/>
    </xf>
    <xf numFmtId="49" fontId="4" fillId="8" borderId="1" xfId="10" applyFont="1" applyBorder="1">
      <alignment horizontal="left" vertical="center" wrapText="1"/>
    </xf>
    <xf numFmtId="49" fontId="71" fillId="14" borderId="4" xfId="10" applyFont="1" applyFill="1" applyBorder="1" applyAlignment="1">
      <alignment horizontal="center" vertical="center" wrapText="1"/>
    </xf>
    <xf numFmtId="49" fontId="71" fillId="14" borderId="9" xfId="10" applyFont="1" applyFill="1" applyBorder="1" applyAlignment="1">
      <alignment horizontal="center" vertical="center" wrapText="1"/>
    </xf>
    <xf numFmtId="49" fontId="71" fillId="14" borderId="3" xfId="10" applyFont="1" applyFill="1" applyBorder="1" applyAlignment="1">
      <alignment horizontal="center" vertical="center" wrapText="1"/>
    </xf>
    <xf numFmtId="49" fontId="71" fillId="13" borderId="4" xfId="10" applyFont="1" applyFill="1" applyBorder="1" applyAlignment="1">
      <alignment horizontal="center" vertical="center" wrapText="1"/>
    </xf>
    <xf numFmtId="49" fontId="71" fillId="13" borderId="9" xfId="10" applyFont="1" applyFill="1" applyBorder="1" applyAlignment="1">
      <alignment horizontal="center" vertical="center" wrapText="1"/>
    </xf>
    <xf numFmtId="49" fontId="71" fillId="13" borderId="3" xfId="10" applyFont="1" applyFill="1" applyBorder="1" applyAlignment="1">
      <alignment horizontal="center" vertical="center" wrapText="1"/>
    </xf>
    <xf numFmtId="49" fontId="67" fillId="6" borderId="4" xfId="11" applyFont="1" applyBorder="1" applyAlignment="1">
      <alignment vertical="center" wrapText="1"/>
    </xf>
    <xf numFmtId="49" fontId="67" fillId="6" borderId="9" xfId="11" applyFont="1" applyBorder="1" applyAlignment="1">
      <alignment vertical="center" wrapText="1"/>
    </xf>
    <xf numFmtId="49" fontId="67" fillId="6" borderId="3" xfId="11" applyFont="1" applyBorder="1" applyAlignment="1">
      <alignment vertical="center" wrapText="1"/>
    </xf>
    <xf numFmtId="49" fontId="72" fillId="9" borderId="1" xfId="12" applyFont="1" applyAlignment="1">
      <alignment horizontal="center" vertical="center" wrapText="1"/>
    </xf>
    <xf numFmtId="49" fontId="67" fillId="8" borderId="1" xfId="10" applyFont="1" applyBorder="1" applyAlignment="1">
      <alignment horizontal="center" vertical="center" wrapText="1"/>
    </xf>
    <xf numFmtId="49" fontId="67" fillId="8" borderId="17" xfId="10" applyFont="1" applyBorder="1" applyAlignment="1">
      <alignment horizontal="center" vertical="center" wrapText="1"/>
    </xf>
    <xf numFmtId="49" fontId="67" fillId="8" borderId="2" xfId="10" applyFont="1" applyBorder="1" applyAlignment="1">
      <alignment horizontal="center" vertical="center" wrapText="1"/>
    </xf>
    <xf numFmtId="49" fontId="67" fillId="8" borderId="40" xfId="10" applyFont="1" applyBorder="1" applyAlignment="1">
      <alignment horizontal="center" vertical="center" wrapText="1"/>
    </xf>
    <xf numFmtId="49" fontId="71" fillId="8" borderId="38" xfId="10" applyFont="1" applyBorder="1" applyAlignment="1">
      <alignment horizontal="center" vertical="center" wrapText="1"/>
    </xf>
    <xf numFmtId="49" fontId="71" fillId="8" borderId="24" xfId="10" applyFont="1" applyBorder="1" applyAlignment="1">
      <alignment horizontal="center" vertical="center" wrapText="1"/>
    </xf>
    <xf numFmtId="49" fontId="71" fillId="8" borderId="39" xfId="10" applyFont="1" applyBorder="1" applyAlignment="1">
      <alignment horizontal="center" vertical="center" wrapText="1"/>
    </xf>
    <xf numFmtId="49" fontId="71" fillId="11" borderId="4" xfId="10" applyFont="1" applyFill="1" applyBorder="1" applyAlignment="1">
      <alignment horizontal="center" vertical="center" wrapText="1"/>
    </xf>
    <xf numFmtId="49" fontId="71" fillId="11" borderId="9" xfId="10" applyFont="1" applyFill="1" applyBorder="1" applyAlignment="1">
      <alignment horizontal="center" vertical="center" wrapText="1"/>
    </xf>
    <xf numFmtId="49" fontId="71" fillId="11" borderId="3" xfId="10" applyFont="1" applyFill="1" applyBorder="1" applyAlignment="1">
      <alignment horizontal="center" vertical="center" wrapText="1"/>
    </xf>
    <xf numFmtId="49" fontId="67" fillId="8" borderId="15" xfId="10" applyFont="1" applyBorder="1" applyAlignment="1">
      <alignment horizontal="center" vertical="center" wrapText="1"/>
    </xf>
    <xf numFmtId="49" fontId="67" fillId="8" borderId="26" xfId="10" applyFont="1" applyBorder="1" applyAlignment="1">
      <alignment horizontal="center" vertical="center" wrapText="1"/>
    </xf>
    <xf numFmtId="49" fontId="71" fillId="12" borderId="15" xfId="10" applyFont="1" applyFill="1" applyBorder="1" applyAlignment="1">
      <alignment horizontal="center" vertical="center" wrapText="1"/>
    </xf>
    <xf numFmtId="49" fontId="71" fillId="12" borderId="25" xfId="10" applyFont="1" applyFill="1" applyBorder="1" applyAlignment="1">
      <alignment horizontal="center" vertical="center" wrapText="1"/>
    </xf>
    <xf numFmtId="49" fontId="71" fillId="12" borderId="26" xfId="10" applyFont="1" applyFill="1" applyBorder="1" applyAlignment="1">
      <alignment horizontal="center" vertical="center" wrapText="1"/>
    </xf>
    <xf numFmtId="49" fontId="72" fillId="13" borderId="17" xfId="12" applyFont="1" applyFill="1" applyBorder="1">
      <alignment horizontal="center" vertical="center"/>
    </xf>
    <xf numFmtId="49" fontId="72" fillId="13" borderId="50" xfId="12" applyFont="1" applyFill="1" applyBorder="1">
      <alignment horizontal="center" vertical="center"/>
    </xf>
    <xf numFmtId="49" fontId="72" fillId="9" borderId="35" xfId="12" applyFont="1" applyBorder="1" applyAlignment="1">
      <alignment horizontal="center" vertical="center"/>
    </xf>
    <xf numFmtId="49" fontId="72" fillId="9" borderId="36" xfId="12" applyFont="1" applyBorder="1" applyAlignment="1">
      <alignment horizontal="center" vertical="center"/>
    </xf>
    <xf numFmtId="49" fontId="72" fillId="9" borderId="37" xfId="12" applyFont="1" applyBorder="1" applyAlignment="1">
      <alignment horizontal="center" vertical="center"/>
    </xf>
    <xf numFmtId="49" fontId="72" fillId="11" borderId="17" xfId="12" applyFont="1" applyFill="1" applyBorder="1">
      <alignment horizontal="center" vertical="center"/>
    </xf>
    <xf numFmtId="49" fontId="72" fillId="11" borderId="50" xfId="12" applyFont="1" applyFill="1" applyBorder="1">
      <alignment horizontal="center" vertical="center"/>
    </xf>
    <xf numFmtId="49" fontId="72" fillId="12" borderId="17" xfId="12" applyFont="1" applyFill="1" applyBorder="1">
      <alignment horizontal="center" vertical="center"/>
    </xf>
    <xf numFmtId="49" fontId="72" fillId="12" borderId="50" xfId="12" applyFont="1" applyFill="1" applyBorder="1">
      <alignment horizontal="center" vertical="center"/>
    </xf>
    <xf numFmtId="49" fontId="72" fillId="14" borderId="17" xfId="12" applyFont="1" applyFill="1" applyBorder="1">
      <alignment horizontal="center" vertical="center"/>
    </xf>
    <xf numFmtId="49" fontId="72" fillId="14" borderId="50" xfId="12" applyFont="1" applyFill="1" applyBorder="1">
      <alignment horizontal="center" vertical="center"/>
    </xf>
    <xf numFmtId="49" fontId="71" fillId="9" borderId="1" xfId="12" applyFont="1">
      <alignment horizontal="center" vertical="center"/>
    </xf>
    <xf numFmtId="49" fontId="36" fillId="8" borderId="4" xfId="10" applyBorder="1">
      <alignment horizontal="left" vertical="center" wrapText="1"/>
    </xf>
    <xf numFmtId="49" fontId="36" fillId="8" borderId="64" xfId="10" applyBorder="1">
      <alignment horizontal="left" vertical="center" wrapText="1"/>
    </xf>
    <xf numFmtId="49" fontId="67" fillId="6" borderId="4" xfId="11" applyFont="1" applyBorder="1">
      <alignment horizontal="left" vertical="center" wrapText="1"/>
    </xf>
    <xf numFmtId="49" fontId="67" fillId="6" borderId="9" xfId="11" applyFont="1" applyBorder="1">
      <alignment horizontal="left" vertical="center" wrapText="1"/>
    </xf>
    <xf numFmtId="49" fontId="67" fillId="6" borderId="64" xfId="11" applyFont="1" applyBorder="1">
      <alignment horizontal="left" vertical="center" wrapText="1"/>
    </xf>
    <xf numFmtId="49" fontId="13" fillId="8" borderId="1" xfId="10" applyFont="1" applyBorder="1">
      <alignment horizontal="left" vertical="center" wrapText="1"/>
    </xf>
    <xf numFmtId="49" fontId="23" fillId="8" borderId="1" xfId="10" applyFont="1" applyBorder="1">
      <alignment horizontal="left" vertical="center" wrapText="1"/>
    </xf>
    <xf numFmtId="49" fontId="67" fillId="10" borderId="1" xfId="13" applyBorder="1">
      <alignment horizontal="left" vertical="center" wrapText="1"/>
    </xf>
    <xf numFmtId="49" fontId="67" fillId="10" borderId="49" xfId="13" applyBorder="1">
      <alignment horizontal="left" vertical="center" wrapText="1"/>
    </xf>
    <xf numFmtId="49" fontId="67" fillId="15" borderId="1" xfId="13" applyFill="1" applyBorder="1">
      <alignment horizontal="left" vertical="center" wrapText="1"/>
    </xf>
    <xf numFmtId="49" fontId="67" fillId="15" borderId="49" xfId="13" applyFill="1" applyBorder="1">
      <alignment horizontal="left" vertical="center" wrapText="1"/>
    </xf>
    <xf numFmtId="49" fontId="71" fillId="11" borderId="17" xfId="10" applyFont="1" applyFill="1" applyBorder="1" applyAlignment="1">
      <alignment horizontal="center" vertical="center" wrapText="1"/>
    </xf>
    <xf numFmtId="49" fontId="71" fillId="11" borderId="50" xfId="10" applyFont="1" applyFill="1" applyBorder="1" applyAlignment="1">
      <alignment horizontal="center" vertical="center" wrapText="1"/>
    </xf>
    <xf numFmtId="164" fontId="68" fillId="17" borderId="61" xfId="5" applyFont="1" applyBorder="1" applyAlignment="1">
      <alignment horizontal="right" vertical="center"/>
    </xf>
    <xf numFmtId="164" fontId="68" fillId="17" borderId="62" xfId="5" applyFont="1" applyBorder="1" applyAlignment="1">
      <alignment horizontal="right" vertical="center"/>
    </xf>
    <xf numFmtId="164" fontId="68" fillId="17" borderId="63" xfId="5" applyFont="1" applyBorder="1" applyAlignment="1">
      <alignment horizontal="right" vertical="center"/>
    </xf>
    <xf numFmtId="49" fontId="67" fillId="10" borderId="1" xfId="13" applyBorder="1" applyAlignment="1">
      <alignment horizontal="center" vertical="center" wrapText="1"/>
    </xf>
    <xf numFmtId="49" fontId="67" fillId="10" borderId="49" xfId="13" applyBorder="1" applyAlignment="1">
      <alignment horizontal="center" vertical="center" wrapText="1"/>
    </xf>
    <xf numFmtId="49" fontId="71" fillId="12" borderId="17" xfId="10" applyFont="1" applyFill="1" applyBorder="1" applyAlignment="1">
      <alignment horizontal="center" vertical="center" wrapText="1"/>
    </xf>
    <xf numFmtId="49" fontId="71" fillId="12" borderId="50" xfId="10" applyFont="1" applyFill="1" applyBorder="1" applyAlignment="1">
      <alignment horizontal="center" vertical="center" wrapText="1"/>
    </xf>
    <xf numFmtId="49" fontId="36" fillId="8" borderId="11" xfId="10" applyBorder="1">
      <alignment horizontal="left" vertical="center" wrapText="1"/>
    </xf>
    <xf numFmtId="49" fontId="36" fillId="8" borderId="51" xfId="10" applyBorder="1">
      <alignment horizontal="left" vertical="center" wrapText="1"/>
    </xf>
    <xf numFmtId="49" fontId="71" fillId="14" borderId="17" xfId="10" applyFont="1" applyFill="1" applyBorder="1" applyAlignment="1">
      <alignment horizontal="center" vertical="center" wrapText="1"/>
    </xf>
    <xf numFmtId="49" fontId="71" fillId="14" borderId="50" xfId="10" applyFont="1" applyFill="1" applyBorder="1" applyAlignment="1">
      <alignment horizontal="center" vertical="center" wrapText="1"/>
    </xf>
    <xf numFmtId="49" fontId="71" fillId="13" borderId="17" xfId="10" applyFont="1" applyFill="1" applyBorder="1" applyAlignment="1">
      <alignment horizontal="center" vertical="center" wrapText="1"/>
    </xf>
    <xf numFmtId="49" fontId="71" fillId="13" borderId="50" xfId="10" applyFont="1" applyFill="1" applyBorder="1" applyAlignment="1">
      <alignment horizontal="center" vertical="center" wrapText="1"/>
    </xf>
    <xf numFmtId="49" fontId="26" fillId="8" borderId="4" xfId="10" applyFont="1" applyBorder="1">
      <alignment horizontal="left" vertical="center" wrapText="1"/>
    </xf>
    <xf numFmtId="49" fontId="36" fillId="8" borderId="3" xfId="10" applyBorder="1">
      <alignment horizontal="left" vertical="center" wrapText="1"/>
    </xf>
    <xf numFmtId="0" fontId="71" fillId="14" borderId="1" xfId="2" applyFont="1" applyFill="1" applyBorder="1" applyAlignment="1">
      <alignment horizontal="center" vertical="center"/>
    </xf>
    <xf numFmtId="49" fontId="18" fillId="8" borderId="1" xfId="10" applyFont="1" applyBorder="1">
      <alignment horizontal="left" vertical="center" wrapText="1"/>
    </xf>
    <xf numFmtId="49" fontId="67" fillId="8" borderId="4" xfId="10" applyFont="1" applyBorder="1" applyAlignment="1">
      <alignment horizontal="left" vertical="center" wrapText="1"/>
    </xf>
    <xf numFmtId="49" fontId="67" fillId="8" borderId="9" xfId="10" applyFont="1" applyBorder="1" applyAlignment="1">
      <alignment horizontal="left" vertical="center" wrapText="1"/>
    </xf>
    <xf numFmtId="49" fontId="67" fillId="8" borderId="3" xfId="10" applyFont="1" applyBorder="1" applyAlignment="1">
      <alignment horizontal="left" vertical="center" wrapText="1"/>
    </xf>
    <xf numFmtId="49" fontId="71" fillId="12" borderId="1" xfId="10" applyFont="1" applyFill="1" applyBorder="1" applyAlignment="1">
      <alignment horizontal="center" vertical="center" wrapText="1"/>
    </xf>
    <xf numFmtId="49" fontId="67" fillId="10" borderId="14" xfId="13" applyBorder="1">
      <alignment horizontal="left" vertical="center" wrapText="1"/>
    </xf>
    <xf numFmtId="49" fontId="67" fillId="10" borderId="9" xfId="13" applyBorder="1">
      <alignment horizontal="left" vertical="center" wrapText="1"/>
    </xf>
    <xf numFmtId="0" fontId="71" fillId="13" borderId="4" xfId="1" applyFont="1" applyFill="1" applyBorder="1" applyAlignment="1">
      <alignment horizontal="center" vertical="center" wrapText="1"/>
    </xf>
    <xf numFmtId="0" fontId="71" fillId="13" borderId="9" xfId="1" applyFont="1" applyFill="1" applyBorder="1" applyAlignment="1">
      <alignment horizontal="center" vertical="center" wrapText="1"/>
    </xf>
    <xf numFmtId="0" fontId="71" fillId="13" borderId="3" xfId="1" applyFont="1" applyFill="1" applyBorder="1" applyAlignment="1">
      <alignment horizontal="center" vertical="center" wrapText="1"/>
    </xf>
    <xf numFmtId="49" fontId="26" fillId="8" borderId="1" xfId="10" applyFont="1" applyBorder="1">
      <alignment horizontal="left" vertical="center" wrapText="1"/>
    </xf>
    <xf numFmtId="49" fontId="72" fillId="9" borderId="35" xfId="12" applyFont="1" applyBorder="1">
      <alignment horizontal="center" vertical="center"/>
    </xf>
    <xf numFmtId="49" fontId="72" fillId="9" borderId="36" xfId="12" applyFont="1" applyBorder="1">
      <alignment horizontal="center" vertical="center"/>
    </xf>
    <xf numFmtId="49" fontId="72" fillId="9" borderId="37" xfId="12" applyFont="1" applyBorder="1">
      <alignment horizontal="center" vertical="center"/>
    </xf>
    <xf numFmtId="49" fontId="72" fillId="9" borderId="38" xfId="12" applyFont="1" applyBorder="1">
      <alignment horizontal="center" vertical="center"/>
    </xf>
    <xf numFmtId="49" fontId="72" fillId="9" borderId="24" xfId="12" applyFont="1" applyBorder="1">
      <alignment horizontal="center" vertical="center"/>
    </xf>
    <xf numFmtId="49" fontId="72" fillId="9" borderId="39" xfId="12" applyFont="1" applyBorder="1">
      <alignment horizontal="center" vertical="center"/>
    </xf>
    <xf numFmtId="49" fontId="72" fillId="8" borderId="1" xfId="10" applyFont="1" applyBorder="1" applyAlignment="1">
      <alignment horizontal="center" vertical="center" wrapText="1"/>
    </xf>
    <xf numFmtId="49" fontId="72" fillId="8" borderId="4" xfId="10" applyFont="1" applyBorder="1" applyAlignment="1">
      <alignment horizontal="center" vertical="center" wrapText="1"/>
    </xf>
    <xf numFmtId="49" fontId="72" fillId="8" borderId="3" xfId="10" applyFont="1" applyBorder="1" applyAlignment="1">
      <alignment horizontal="center" vertical="center" wrapText="1"/>
    </xf>
    <xf numFmtId="49" fontId="74" fillId="8" borderId="1" xfId="10" applyFont="1" applyBorder="1" applyAlignment="1">
      <alignment horizontal="center" vertical="center" wrapText="1"/>
    </xf>
    <xf numFmtId="49" fontId="72" fillId="9" borderId="27" xfId="12" applyFont="1" applyBorder="1" applyAlignment="1">
      <alignment horizontal="center" vertical="center"/>
    </xf>
    <xf numFmtId="49" fontId="72" fillId="9" borderId="0" xfId="12" applyFont="1" applyBorder="1" applyAlignment="1">
      <alignment horizontal="center" vertical="center"/>
    </xf>
    <xf numFmtId="49" fontId="1" fillId="8" borderId="1" xfId="10" applyFont="1" applyBorder="1">
      <alignment horizontal="left" vertical="center" wrapText="1"/>
    </xf>
    <xf numFmtId="49" fontId="1" fillId="8" borderId="49" xfId="10" applyFont="1" applyBorder="1" applyAlignment="1">
      <alignment horizontal="left" vertical="center" wrapText="1"/>
    </xf>
    <xf numFmtId="0" fontId="95" fillId="0" borderId="0" xfId="0" applyFont="1" applyFill="1"/>
    <xf numFmtId="164" fontId="67" fillId="6" borderId="17" xfId="9" applyFont="1" applyBorder="1" applyAlignment="1">
      <alignment vertical="center"/>
    </xf>
    <xf numFmtId="164" fontId="1" fillId="19" borderId="34" xfId="3" applyFont="1" applyBorder="1" applyAlignment="1">
      <alignment vertical="center"/>
    </xf>
    <xf numFmtId="49" fontId="1" fillId="8" borderId="49" xfId="10" applyFont="1" applyBorder="1">
      <alignment horizontal="left" vertical="center" wrapText="1"/>
    </xf>
    <xf numFmtId="0" fontId="96" fillId="0" borderId="0" xfId="8" applyFont="1"/>
    <xf numFmtId="0" fontId="96" fillId="0" borderId="0" xfId="0" applyFont="1"/>
    <xf numFmtId="49" fontId="97" fillId="0" borderId="0" xfId="8" applyNumberFormat="1" applyFont="1" applyAlignment="1">
      <alignment horizontal="center" vertical="center" wrapText="1"/>
    </xf>
    <xf numFmtId="0" fontId="97" fillId="0" borderId="0" xfId="8" applyFont="1" applyAlignment="1">
      <alignment horizontal="center"/>
    </xf>
    <xf numFmtId="164" fontId="96" fillId="0" borderId="0" xfId="8" applyNumberFormat="1" applyFont="1" applyAlignment="1">
      <alignment vertical="center"/>
    </xf>
  </cellXfs>
  <cellStyles count="15">
    <cellStyle name="20% - 3. jelölőszín" xfId="1" builtinId="38"/>
    <cellStyle name="20% - 5. jelölőszín" xfId="2" builtinId="46"/>
    <cellStyle name="Bevitel" xfId="3" builtinId="20" customBuiltin="1"/>
    <cellStyle name="Ellenőrzőcella" xfId="4" builtinId="23" customBuiltin="1"/>
    <cellStyle name="Ezres" xfId="14" builtinId="3"/>
    <cellStyle name="Fő címek" xfId="12" xr:uid="{00000000-0005-0000-0000-000005000000}"/>
    <cellStyle name="Fő összegző sorok" xfId="13" xr:uid="{00000000-0005-0000-0000-000006000000}"/>
    <cellStyle name="Hivatkozott cella" xfId="5" builtinId="24" customBuiltin="1"/>
    <cellStyle name="Jegyzet" xfId="6" builtinId="10"/>
    <cellStyle name="Jó" xfId="7" builtinId="26"/>
    <cellStyle name="Normál" xfId="0" builtinId="0"/>
    <cellStyle name="Normál 2" xfId="8" xr:uid="{00000000-0005-0000-0000-00000B000000}"/>
    <cellStyle name="összegző sorok szövege" xfId="11" xr:uid="{00000000-0005-0000-0000-00000C000000}"/>
    <cellStyle name="Számítás" xfId="9" builtinId="22" customBuiltin="1"/>
    <cellStyle name="szöveges részek" xfId="10" xr:uid="{00000000-0005-0000-0000-00000E000000}"/>
  </cellStyles>
  <dxfs count="0"/>
  <tableStyles count="0" defaultTableStyle="TableStyleMedium9" defaultPivotStyle="PivotStyleLight16"/>
  <colors>
    <mruColors>
      <color rgb="FFFFCC66"/>
      <color rgb="FFCCFFCC"/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8">
    <pageSetUpPr fitToPage="1"/>
  </sheetPr>
  <dimension ref="A1:I41"/>
  <sheetViews>
    <sheetView topLeftCell="A4" zoomScale="60" zoomScaleNormal="60" workbookViewId="0">
      <selection activeCell="V18" sqref="V18"/>
    </sheetView>
  </sheetViews>
  <sheetFormatPr defaultRowHeight="13.2" x14ac:dyDescent="0.25"/>
  <cols>
    <col min="1" max="1" width="6" style="156" bestFit="1" customWidth="1"/>
    <col min="2" max="2" width="6" bestFit="1" customWidth="1"/>
    <col min="3" max="3" width="5.5546875" bestFit="1" customWidth="1"/>
    <col min="4" max="4" width="43.77734375" customWidth="1"/>
    <col min="5" max="5" width="16.88671875" style="159" bestFit="1" customWidth="1"/>
    <col min="6" max="6" width="18.6640625" style="159" customWidth="1"/>
    <col min="7" max="8" width="17.5546875" style="159" bestFit="1" customWidth="1"/>
    <col min="9" max="9" width="17.33203125" style="159" customWidth="1"/>
  </cols>
  <sheetData>
    <row r="1" spans="1:9" ht="18" x14ac:dyDescent="0.25">
      <c r="A1" s="499" t="s">
        <v>601</v>
      </c>
      <c r="B1" s="499"/>
      <c r="C1" s="499"/>
      <c r="D1" s="499"/>
      <c r="E1" s="499"/>
      <c r="F1" s="499"/>
      <c r="G1" s="499"/>
      <c r="H1" s="499"/>
      <c r="I1" s="499"/>
    </row>
    <row r="2" spans="1:9" ht="18" x14ac:dyDescent="0.25">
      <c r="A2" s="510" t="s">
        <v>484</v>
      </c>
      <c r="B2" s="511"/>
      <c r="C2" s="511"/>
      <c r="D2" s="511"/>
      <c r="E2" s="511"/>
      <c r="F2" s="511"/>
      <c r="G2" s="511"/>
      <c r="H2" s="511"/>
      <c r="I2" s="512"/>
    </row>
    <row r="3" spans="1:9" s="233" customFormat="1" ht="15.6" x14ac:dyDescent="0.25">
      <c r="A3" s="164"/>
      <c r="B3" s="47"/>
      <c r="C3" s="164"/>
      <c r="D3" s="164"/>
      <c r="E3" s="164"/>
      <c r="F3" s="164"/>
    </row>
    <row r="4" spans="1:9" s="1" customFormat="1" ht="37.799999999999997" customHeight="1" x14ac:dyDescent="0.25">
      <c r="A4" s="507" t="s">
        <v>600</v>
      </c>
      <c r="B4" s="508"/>
      <c r="C4" s="508"/>
      <c r="D4" s="509"/>
      <c r="E4" s="471" t="s">
        <v>483</v>
      </c>
      <c r="F4" s="472" t="s">
        <v>466</v>
      </c>
      <c r="G4" s="472" t="s">
        <v>443</v>
      </c>
      <c r="H4" s="472" t="s">
        <v>444</v>
      </c>
      <c r="I4" s="472" t="s">
        <v>445</v>
      </c>
    </row>
    <row r="5" spans="1:9" ht="15.6" x14ac:dyDescent="0.25">
      <c r="A5" s="406"/>
      <c r="B5" s="406"/>
      <c r="C5" s="384" t="s">
        <v>516</v>
      </c>
      <c r="D5" s="385" t="s">
        <v>522</v>
      </c>
      <c r="E5" s="248">
        <v>71214039</v>
      </c>
      <c r="F5" s="248">
        <v>71214039</v>
      </c>
      <c r="G5" s="248">
        <v>71415039</v>
      </c>
      <c r="H5" s="248">
        <f>'2).Bevétel intézmény'!H5</f>
        <v>71915039</v>
      </c>
      <c r="I5" s="402"/>
    </row>
    <row r="6" spans="1:9" ht="28.8" x14ac:dyDescent="0.25">
      <c r="A6" s="406"/>
      <c r="B6" s="406"/>
      <c r="C6" s="384" t="s">
        <v>517</v>
      </c>
      <c r="D6" s="385" t="s">
        <v>523</v>
      </c>
      <c r="E6" s="248">
        <v>47714500</v>
      </c>
      <c r="F6" s="248">
        <v>47681442</v>
      </c>
      <c r="G6" s="248">
        <v>51159527</v>
      </c>
      <c r="H6" s="248">
        <f>'2).Bevétel intézmény'!H6</f>
        <v>49184975</v>
      </c>
      <c r="I6" s="402"/>
    </row>
    <row r="7" spans="1:9" ht="15.6" x14ac:dyDescent="0.25">
      <c r="A7" s="406"/>
      <c r="B7" s="406"/>
      <c r="C7" s="384" t="s">
        <v>518</v>
      </c>
      <c r="D7" s="385" t="s">
        <v>524</v>
      </c>
      <c r="E7" s="248">
        <v>57562760</v>
      </c>
      <c r="F7" s="248">
        <v>56092060</v>
      </c>
      <c r="G7" s="248">
        <v>59118661</v>
      </c>
      <c r="H7" s="248">
        <f>'2).Bevétel intézmény'!H7</f>
        <v>62817810</v>
      </c>
      <c r="I7" s="402"/>
    </row>
    <row r="8" spans="1:9" ht="29.4" customHeight="1" x14ac:dyDescent="0.25">
      <c r="A8" s="406"/>
      <c r="B8" s="406"/>
      <c r="C8" s="384" t="s">
        <v>519</v>
      </c>
      <c r="D8" s="385" t="s">
        <v>525</v>
      </c>
      <c r="E8" s="248">
        <v>3960514</v>
      </c>
      <c r="F8" s="248">
        <v>3960514</v>
      </c>
      <c r="G8" s="248">
        <v>5256534</v>
      </c>
      <c r="H8" s="248">
        <f>'2).Bevétel intézmény'!H8</f>
        <v>5304534</v>
      </c>
      <c r="I8" s="402"/>
    </row>
    <row r="9" spans="1:9" ht="28.8" x14ac:dyDescent="0.25">
      <c r="A9" s="406"/>
      <c r="B9" s="406"/>
      <c r="C9" s="384" t="s">
        <v>520</v>
      </c>
      <c r="D9" s="385" t="s">
        <v>526</v>
      </c>
      <c r="E9" s="248">
        <v>0</v>
      </c>
      <c r="F9" s="248">
        <v>0</v>
      </c>
      <c r="G9" s="248">
        <v>0</v>
      </c>
      <c r="H9" s="248">
        <f>'2).Bevétel intézmény'!H9</f>
        <v>2514600</v>
      </c>
      <c r="I9" s="402"/>
    </row>
    <row r="10" spans="1:9" ht="15.6" x14ac:dyDescent="0.25">
      <c r="A10" s="130"/>
      <c r="B10" s="406"/>
      <c r="C10" s="384" t="s">
        <v>521</v>
      </c>
      <c r="D10" s="385" t="s">
        <v>527</v>
      </c>
      <c r="E10" s="248">
        <v>0</v>
      </c>
      <c r="F10" s="248">
        <v>49056</v>
      </c>
      <c r="G10" s="248">
        <v>49056</v>
      </c>
      <c r="H10" s="248">
        <f>'2).Bevétel intézmény'!H10</f>
        <v>49056</v>
      </c>
      <c r="I10" s="402"/>
    </row>
    <row r="11" spans="1:9" ht="15.6" x14ac:dyDescent="0.25">
      <c r="A11" s="130"/>
      <c r="B11" s="386" t="s">
        <v>528</v>
      </c>
      <c r="C11" s="505" t="s">
        <v>141</v>
      </c>
      <c r="D11" s="506"/>
      <c r="E11" s="251">
        <v>180451813</v>
      </c>
      <c r="F11" s="251">
        <v>178997111</v>
      </c>
      <c r="G11" s="251">
        <v>186998817</v>
      </c>
      <c r="H11" s="251">
        <f>SUM(H5:H10)</f>
        <v>191786014</v>
      </c>
      <c r="I11" s="251"/>
    </row>
    <row r="12" spans="1:9" ht="15.6" x14ac:dyDescent="0.25">
      <c r="A12" s="184"/>
      <c r="B12" s="405" t="s">
        <v>289</v>
      </c>
      <c r="C12" s="502" t="s">
        <v>290</v>
      </c>
      <c r="D12" s="503"/>
      <c r="E12" s="441">
        <v>52721775</v>
      </c>
      <c r="F12" s="249">
        <v>45534329</v>
      </c>
      <c r="G12" s="249">
        <v>47837042</v>
      </c>
      <c r="H12" s="249">
        <f>'2).Bevétel intézmény'!H12</f>
        <v>46885037</v>
      </c>
      <c r="I12" s="403"/>
    </row>
    <row r="13" spans="1:9" s="1" customFormat="1" ht="15.6" x14ac:dyDescent="0.25">
      <c r="A13" s="409" t="s">
        <v>139</v>
      </c>
      <c r="B13" s="500" t="s">
        <v>140</v>
      </c>
      <c r="C13" s="500"/>
      <c r="D13" s="501"/>
      <c r="E13" s="392">
        <f>E11+E12</f>
        <v>233173588</v>
      </c>
      <c r="F13" s="251">
        <v>224531440</v>
      </c>
      <c r="G13" s="251">
        <v>234835859</v>
      </c>
      <c r="H13" s="251">
        <f>SUM(H11:H12)</f>
        <v>238671051</v>
      </c>
      <c r="I13" s="357"/>
    </row>
    <row r="14" spans="1:9" ht="15.6" x14ac:dyDescent="0.25">
      <c r="A14" s="184"/>
      <c r="B14" s="182" t="s">
        <v>347</v>
      </c>
      <c r="C14" s="504" t="s">
        <v>64</v>
      </c>
      <c r="D14" s="503"/>
      <c r="E14" s="261">
        <v>0</v>
      </c>
      <c r="F14" s="261">
        <v>0</v>
      </c>
      <c r="G14" s="261">
        <v>0</v>
      </c>
      <c r="H14" s="261">
        <f>('2).Bevétel intézmény'!H14)</f>
        <v>0</v>
      </c>
      <c r="I14" s="250"/>
    </row>
    <row r="15" spans="1:9" s="3" customFormat="1" ht="29.4" customHeight="1" x14ac:dyDescent="0.25">
      <c r="A15" s="184"/>
      <c r="B15" s="182" t="s">
        <v>349</v>
      </c>
      <c r="C15" s="502" t="s">
        <v>164</v>
      </c>
      <c r="D15" s="503"/>
      <c r="E15" s="261">
        <v>71903307</v>
      </c>
      <c r="F15" s="261">
        <v>88856049</v>
      </c>
      <c r="G15" s="261">
        <v>83004518</v>
      </c>
      <c r="H15" s="261">
        <f>('2).Bevétel intézmény'!H15)</f>
        <v>68479583</v>
      </c>
      <c r="I15" s="250"/>
    </row>
    <row r="16" spans="1:9" s="1" customFormat="1" ht="15.6" x14ac:dyDescent="0.25">
      <c r="A16" s="409" t="s">
        <v>142</v>
      </c>
      <c r="B16" s="500" t="s">
        <v>143</v>
      </c>
      <c r="C16" s="500"/>
      <c r="D16" s="501"/>
      <c r="E16" s="262">
        <f>SUM(E14:E15)+('2).Bevétel intézmény'!E45)+('2).Bevétel intézmény'!E59)+('2).Bevétel intézmény'!E73)</f>
        <v>71903307</v>
      </c>
      <c r="F16" s="252">
        <v>88856049</v>
      </c>
      <c r="G16" s="252">
        <v>83004518</v>
      </c>
      <c r="H16" s="252">
        <f>SUM(H14:H15)</f>
        <v>68479583</v>
      </c>
      <c r="I16" s="252"/>
    </row>
    <row r="17" spans="1:9" s="3" customFormat="1" ht="15.6" x14ac:dyDescent="0.25">
      <c r="A17" s="184"/>
      <c r="B17" s="182"/>
      <c r="C17" s="182" t="s">
        <v>147</v>
      </c>
      <c r="D17" s="186" t="s">
        <v>148</v>
      </c>
      <c r="E17" s="261">
        <v>60000000</v>
      </c>
      <c r="F17" s="261">
        <v>55000000</v>
      </c>
      <c r="G17" s="261">
        <v>55000000</v>
      </c>
      <c r="H17" s="261">
        <f>('2).Bevétel intézmény'!H17)</f>
        <v>55000000</v>
      </c>
      <c r="I17" s="250"/>
    </row>
    <row r="18" spans="1:9" s="3" customFormat="1" ht="15.6" x14ac:dyDescent="0.25">
      <c r="A18" s="184"/>
      <c r="B18" s="182"/>
      <c r="C18" s="182" t="s">
        <v>149</v>
      </c>
      <c r="D18" s="186" t="s">
        <v>150</v>
      </c>
      <c r="E18" s="261">
        <v>8500000</v>
      </c>
      <c r="F18" s="261">
        <v>351596</v>
      </c>
      <c r="G18" s="261">
        <v>351596</v>
      </c>
      <c r="H18" s="261">
        <f>('2).Bevétel intézmény'!H18)</f>
        <v>351596</v>
      </c>
      <c r="I18" s="250"/>
    </row>
    <row r="19" spans="1:9" s="3" customFormat="1" ht="15.6" x14ac:dyDescent="0.25">
      <c r="A19" s="184"/>
      <c r="B19" s="183" t="s">
        <v>145</v>
      </c>
      <c r="C19" s="505" t="s">
        <v>146</v>
      </c>
      <c r="D19" s="506"/>
      <c r="E19" s="262">
        <f>SUM(E17:E18)</f>
        <v>68500000</v>
      </c>
      <c r="F19" s="252">
        <v>55351596</v>
      </c>
      <c r="G19" s="252">
        <v>55351596</v>
      </c>
      <c r="H19" s="252">
        <f>SUM(H17:H18)</f>
        <v>55351596</v>
      </c>
      <c r="I19" s="252"/>
    </row>
    <row r="20" spans="1:9" s="3" customFormat="1" ht="15.6" x14ac:dyDescent="0.25">
      <c r="A20" s="184"/>
      <c r="B20" s="182" t="s">
        <v>151</v>
      </c>
      <c r="C20" s="502" t="s">
        <v>152</v>
      </c>
      <c r="D20" s="503"/>
      <c r="E20" s="261">
        <v>100000</v>
      </c>
      <c r="F20" s="261">
        <v>100000</v>
      </c>
      <c r="G20" s="261">
        <v>100000</v>
      </c>
      <c r="H20" s="261">
        <f>('2).Bevétel intézmény'!H20)</f>
        <v>100000</v>
      </c>
      <c r="I20" s="250"/>
    </row>
    <row r="21" spans="1:9" s="1" customFormat="1" ht="15.6" x14ac:dyDescent="0.25">
      <c r="A21" s="409" t="s">
        <v>144</v>
      </c>
      <c r="B21" s="500" t="s">
        <v>55</v>
      </c>
      <c r="C21" s="500"/>
      <c r="D21" s="501"/>
      <c r="E21" s="262">
        <f>SUM(E19:E20)+('2).Bevétel intézmény'!E46)+('2).Bevétel intézmény'!E60)+('2).Bevétel intézmény'!E74)</f>
        <v>68600000</v>
      </c>
      <c r="F21" s="262">
        <v>55451596</v>
      </c>
      <c r="G21" s="262">
        <v>55451596</v>
      </c>
      <c r="H21" s="262">
        <f>SUM(H19:H20)+('2).Bevétel intézmény'!H46)+('2).Bevétel intézmény'!H60)+('2).Bevétel intézmény'!H74)</f>
        <v>55451596</v>
      </c>
      <c r="I21" s="252"/>
    </row>
    <row r="22" spans="1:9" s="1" customFormat="1" ht="15.6" x14ac:dyDescent="0.25">
      <c r="A22" s="409" t="s">
        <v>153</v>
      </c>
      <c r="B22" s="500" t="s">
        <v>28</v>
      </c>
      <c r="C22" s="500"/>
      <c r="D22" s="501"/>
      <c r="E22" s="263">
        <f>('2).Bevétel intézmény'!E28)+('2).Bevétel intézmény'!E47)+('2).Bevétel intézmény'!E61)+('2).Bevétel intézmény'!E75)</f>
        <v>25266000</v>
      </c>
      <c r="F22" s="263">
        <v>24638000</v>
      </c>
      <c r="G22" s="263">
        <v>24155500</v>
      </c>
      <c r="H22" s="263">
        <f>('2).Bevétel intézmény'!H28)+('2).Bevétel intézmény'!H47)+('2).Bevétel intézmény'!H61)+('2).Bevétel intézmény'!H75)</f>
        <v>22455500</v>
      </c>
      <c r="I22" s="264"/>
    </row>
    <row r="23" spans="1:9" ht="15.6" x14ac:dyDescent="0.25">
      <c r="A23" s="184"/>
      <c r="B23" s="182" t="s">
        <v>156</v>
      </c>
      <c r="C23" s="502" t="s">
        <v>157</v>
      </c>
      <c r="D23" s="503"/>
      <c r="E23" s="261">
        <v>4138000</v>
      </c>
      <c r="F23" s="261">
        <v>4138000</v>
      </c>
      <c r="G23" s="261">
        <v>4138000</v>
      </c>
      <c r="H23" s="261">
        <f>('2).Bevétel intézmény'!H29)</f>
        <v>7851428</v>
      </c>
      <c r="I23" s="250"/>
    </row>
    <row r="24" spans="1:9" s="3" customFormat="1" ht="15.6" x14ac:dyDescent="0.25">
      <c r="A24" s="184"/>
      <c r="B24" s="182" t="s">
        <v>333</v>
      </c>
      <c r="C24" s="502" t="s">
        <v>334</v>
      </c>
      <c r="D24" s="503"/>
      <c r="E24" s="261">
        <v>0</v>
      </c>
      <c r="F24" s="261">
        <v>0</v>
      </c>
      <c r="G24" s="261">
        <v>0</v>
      </c>
      <c r="H24" s="261">
        <f>('2).Bevétel intézmény'!H30)</f>
        <v>0</v>
      </c>
      <c r="I24" s="250"/>
    </row>
    <row r="25" spans="1:9" s="1" customFormat="1" ht="15.6" x14ac:dyDescent="0.25">
      <c r="A25" s="409" t="s">
        <v>154</v>
      </c>
      <c r="B25" s="500" t="s">
        <v>155</v>
      </c>
      <c r="C25" s="500"/>
      <c r="D25" s="501"/>
      <c r="E25" s="262">
        <f>SUM(E23:E24)+('2).Bevétel intézmény'!E48)+('2).Bevétel intézmény'!E62)+('2).Bevétel intézmény'!E76)</f>
        <v>4138000</v>
      </c>
      <c r="F25" s="252">
        <v>4138000</v>
      </c>
      <c r="G25" s="252">
        <v>4138000</v>
      </c>
      <c r="H25" s="252">
        <f>SUM(H23:H24)</f>
        <v>7851428</v>
      </c>
      <c r="I25" s="252"/>
    </row>
    <row r="26" spans="1:9" s="6" customFormat="1" ht="15.6" x14ac:dyDescent="0.25">
      <c r="A26" s="184"/>
      <c r="B26" s="182" t="s">
        <v>399</v>
      </c>
      <c r="C26" s="502" t="s">
        <v>400</v>
      </c>
      <c r="D26" s="503"/>
      <c r="E26" s="261">
        <v>0</v>
      </c>
      <c r="F26" s="261">
        <v>0</v>
      </c>
      <c r="G26" s="261">
        <v>0</v>
      </c>
      <c r="H26" s="261">
        <f>('2).Bevétel intézmény'!H32)</f>
        <v>0</v>
      </c>
      <c r="I26" s="250"/>
    </row>
    <row r="27" spans="1:9" s="6" customFormat="1" ht="15.6" x14ac:dyDescent="0.25">
      <c r="A27" s="184"/>
      <c r="B27" s="182" t="s">
        <v>350</v>
      </c>
      <c r="C27" s="502" t="s">
        <v>160</v>
      </c>
      <c r="D27" s="503"/>
      <c r="E27" s="261">
        <v>0</v>
      </c>
      <c r="F27" s="261">
        <v>500000</v>
      </c>
      <c r="G27" s="261">
        <v>523000</v>
      </c>
      <c r="H27" s="261">
        <f>('2).Bevétel intézmény'!H33)</f>
        <v>528700</v>
      </c>
      <c r="I27" s="250"/>
    </row>
    <row r="28" spans="1:9" s="2" customFormat="1" ht="15.6" x14ac:dyDescent="0.3">
      <c r="A28" s="409" t="s">
        <v>158</v>
      </c>
      <c r="B28" s="500" t="s">
        <v>159</v>
      </c>
      <c r="C28" s="500"/>
      <c r="D28" s="501"/>
      <c r="E28" s="262">
        <f>SUM(E26:E27)+('2).Bevétel intézmény'!E49)+('2).Bevétel intézmény'!E63)+('2).Bevétel intézmény'!E77)</f>
        <v>0</v>
      </c>
      <c r="F28" s="252">
        <v>500000</v>
      </c>
      <c r="G28" s="252">
        <v>523000</v>
      </c>
      <c r="H28" s="252">
        <f>SUM(H26:H27)</f>
        <v>528700</v>
      </c>
      <c r="I28" s="252"/>
    </row>
    <row r="29" spans="1:9" s="3" customFormat="1" ht="15.6" x14ac:dyDescent="0.25">
      <c r="A29" s="184"/>
      <c r="B29" s="182" t="s">
        <v>376</v>
      </c>
      <c r="C29" s="502" t="s">
        <v>165</v>
      </c>
      <c r="D29" s="503"/>
      <c r="E29" s="261">
        <v>35213088</v>
      </c>
      <c r="F29" s="261">
        <v>35213088</v>
      </c>
      <c r="G29" s="261">
        <v>35213088</v>
      </c>
      <c r="H29" s="261">
        <f>('2).Bevétel intézmény'!H36)+('2).Bevétel intézmény'!H50)+('2).Bevétel intézmény'!H64)+('2).Bevétel intézmény'!H78)</f>
        <v>35213088</v>
      </c>
      <c r="I29" s="250"/>
    </row>
    <row r="30" spans="1:9" s="1" customFormat="1" ht="15.6" x14ac:dyDescent="0.25">
      <c r="A30" s="409" t="s">
        <v>161</v>
      </c>
      <c r="B30" s="500" t="s">
        <v>162</v>
      </c>
      <c r="C30" s="500"/>
      <c r="D30" s="501"/>
      <c r="E30" s="262">
        <f>SUM(E29)</f>
        <v>35213088</v>
      </c>
      <c r="F30" s="252">
        <v>35213088</v>
      </c>
      <c r="G30" s="252">
        <v>35213088</v>
      </c>
      <c r="H30" s="252">
        <f>SUM(H29)</f>
        <v>35213088</v>
      </c>
      <c r="I30" s="252"/>
    </row>
    <row r="31" spans="1:9" s="7" customFormat="1" ht="16.8" x14ac:dyDescent="0.3">
      <c r="A31" s="181" t="s">
        <v>170</v>
      </c>
      <c r="B31" s="515" t="s">
        <v>171</v>
      </c>
      <c r="C31" s="515"/>
      <c r="D31" s="516"/>
      <c r="E31" s="265">
        <f>E13+E16+E21+E22+E25+E28+E30</f>
        <v>438293983</v>
      </c>
      <c r="F31" s="265">
        <v>433328173</v>
      </c>
      <c r="G31" s="265">
        <v>437321561</v>
      </c>
      <c r="H31" s="265">
        <f>H13+H16+H21+H22+H25+H28+H30</f>
        <v>428650946</v>
      </c>
      <c r="I31" s="257"/>
    </row>
    <row r="32" spans="1:9" s="3" customFormat="1" ht="15.6" x14ac:dyDescent="0.25">
      <c r="A32" s="184"/>
      <c r="B32" s="182" t="s">
        <v>168</v>
      </c>
      <c r="C32" s="502" t="s">
        <v>169</v>
      </c>
      <c r="D32" s="503"/>
      <c r="E32" s="261">
        <v>98584469</v>
      </c>
      <c r="F32" s="261">
        <v>99226040</v>
      </c>
      <c r="G32" s="261">
        <v>99226042</v>
      </c>
      <c r="H32" s="261">
        <f>('2).Bevétel intézmény'!H38)+('2).Bevétel intézmény'!H52)+('2).Bevétel intézmény'!H66)+('2).Bevétel intézmény'!H80)</f>
        <v>99226040</v>
      </c>
      <c r="I32" s="250"/>
    </row>
    <row r="33" spans="1:9" s="3" customFormat="1" ht="15.6" x14ac:dyDescent="0.25">
      <c r="A33" s="184"/>
      <c r="B33" s="182" t="s">
        <v>326</v>
      </c>
      <c r="C33" s="502" t="s">
        <v>327</v>
      </c>
      <c r="D33" s="503"/>
      <c r="E33" s="261">
        <v>6778442</v>
      </c>
      <c r="F33" s="261">
        <v>6778442</v>
      </c>
      <c r="G33" s="261">
        <v>6778442</v>
      </c>
      <c r="H33" s="261">
        <f>('2).Bevétel intézmény'!H39)</f>
        <v>6778442</v>
      </c>
      <c r="I33" s="250"/>
    </row>
    <row r="34" spans="1:9" s="1" customFormat="1" ht="15.6" x14ac:dyDescent="0.25">
      <c r="A34" s="409" t="s">
        <v>166</v>
      </c>
      <c r="B34" s="500" t="s">
        <v>167</v>
      </c>
      <c r="C34" s="500"/>
      <c r="D34" s="501"/>
      <c r="E34" s="262">
        <f>SUM(E32:E33)</f>
        <v>105362911</v>
      </c>
      <c r="F34" s="252">
        <v>106004482</v>
      </c>
      <c r="G34" s="252">
        <v>106004484</v>
      </c>
      <c r="H34" s="252">
        <f>SUM(H32:H33)</f>
        <v>106004482</v>
      </c>
      <c r="I34" s="252"/>
    </row>
    <row r="35" spans="1:9" s="8" customFormat="1" ht="18" x14ac:dyDescent="0.3">
      <c r="A35" s="513" t="s">
        <v>330</v>
      </c>
      <c r="B35" s="513"/>
      <c r="C35" s="513"/>
      <c r="D35" s="514"/>
      <c r="E35" s="427">
        <f>E31+E34</f>
        <v>543656894</v>
      </c>
      <c r="F35" s="427">
        <v>539332655</v>
      </c>
      <c r="G35" s="427">
        <v>543326045</v>
      </c>
      <c r="H35" s="427">
        <f>H31+H34</f>
        <v>534655428</v>
      </c>
      <c r="I35" s="157"/>
    </row>
    <row r="36" spans="1:9" s="3" customFormat="1" ht="15.6" x14ac:dyDescent="0.25">
      <c r="A36" s="184"/>
      <c r="B36" s="182" t="s">
        <v>329</v>
      </c>
      <c r="C36" s="502" t="s">
        <v>331</v>
      </c>
      <c r="D36" s="503"/>
      <c r="E36" s="261">
        <v>159633951</v>
      </c>
      <c r="F36" s="261">
        <v>159633951</v>
      </c>
      <c r="G36" s="261">
        <v>161183328</v>
      </c>
      <c r="H36" s="261">
        <f>('2).Bevétel intézmény'!H53)+('2).Bevétel intézmény'!H67)+('2).Bevétel intézmény'!H81)</f>
        <v>178104802</v>
      </c>
      <c r="I36" s="250"/>
    </row>
    <row r="37" spans="1:9" s="428" customFormat="1" ht="18" x14ac:dyDescent="0.3">
      <c r="A37" s="513" t="s">
        <v>34</v>
      </c>
      <c r="B37" s="513"/>
      <c r="C37" s="513"/>
      <c r="D37" s="514"/>
      <c r="E37" s="427">
        <f>SUM(E35:E36)</f>
        <v>703290845</v>
      </c>
      <c r="F37" s="427">
        <v>698966606</v>
      </c>
      <c r="G37" s="427">
        <v>704509373</v>
      </c>
      <c r="H37" s="427">
        <f>SUM(H35:H36)</f>
        <v>712760230</v>
      </c>
      <c r="I37" s="157"/>
    </row>
    <row r="41" spans="1:9" x14ac:dyDescent="0.25">
      <c r="F41" s="160"/>
    </row>
  </sheetData>
  <mergeCells count="28">
    <mergeCell ref="B25:D25"/>
    <mergeCell ref="C23:D23"/>
    <mergeCell ref="C26:D26"/>
    <mergeCell ref="C27:D27"/>
    <mergeCell ref="C19:D19"/>
    <mergeCell ref="C20:D20"/>
    <mergeCell ref="B21:D21"/>
    <mergeCell ref="B22:D22"/>
    <mergeCell ref="C24:D24"/>
    <mergeCell ref="A37:D37"/>
    <mergeCell ref="B28:D28"/>
    <mergeCell ref="C29:D29"/>
    <mergeCell ref="B30:D30"/>
    <mergeCell ref="B31:D31"/>
    <mergeCell ref="C32:D32"/>
    <mergeCell ref="A35:D35"/>
    <mergeCell ref="C33:D33"/>
    <mergeCell ref="B34:D34"/>
    <mergeCell ref="C36:D36"/>
    <mergeCell ref="A1:I1"/>
    <mergeCell ref="B16:D16"/>
    <mergeCell ref="C15:D15"/>
    <mergeCell ref="C14:D14"/>
    <mergeCell ref="C11:D11"/>
    <mergeCell ref="C12:D12"/>
    <mergeCell ref="B13:D13"/>
    <mergeCell ref="A4:D4"/>
    <mergeCell ref="A2:I2"/>
  </mergeCells>
  <printOptions horizontalCentered="1" verticalCentered="1"/>
  <pageMargins left="0.70866141732283461" right="0.70866141732283461" top="0.74803149606299213" bottom="0.74803149606299213" header="0.31496062992125984" footer="0.31496062992125984"/>
  <pageSetup paperSize="9" scale="80" orientation="landscape" r:id="rId1"/>
  <headerFooter>
    <oddHeader>&amp;R1. sz. melléklet
Ft-ban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Munka20">
    <pageSetUpPr fitToPage="1"/>
  </sheetPr>
  <dimension ref="A1:X28"/>
  <sheetViews>
    <sheetView zoomScale="70" zoomScaleNormal="70" zoomScalePageLayoutView="70" workbookViewId="0">
      <pane xSplit="2" ySplit="4" topLeftCell="C5" activePane="bottomRight" state="frozen"/>
      <selection activeCell="N48" sqref="N48"/>
      <selection pane="topRight" activeCell="N48" sqref="N48"/>
      <selection pane="bottomLeft" activeCell="N48" sqref="N48"/>
      <selection pane="bottomRight" activeCell="V1" sqref="V1:V1048576"/>
    </sheetView>
  </sheetViews>
  <sheetFormatPr defaultColWidth="1.6640625" defaultRowHeight="13.2" x14ac:dyDescent="0.25"/>
  <cols>
    <col min="1" max="1" width="5.6640625" style="5" bestFit="1" customWidth="1"/>
    <col min="2" max="2" width="26.5546875" style="269" customWidth="1"/>
    <col min="3" max="3" width="12.21875" style="4" bestFit="1" customWidth="1"/>
    <col min="4" max="4" width="12.33203125" style="4" bestFit="1" customWidth="1"/>
    <col min="5" max="5" width="8.6640625" style="4" bestFit="1" customWidth="1"/>
    <col min="6" max="6" width="10.5546875" style="4" bestFit="1" customWidth="1"/>
    <col min="7" max="7" width="11.109375" style="4" bestFit="1" customWidth="1"/>
    <col min="8" max="8" width="10.5546875" style="4" customWidth="1"/>
    <col min="9" max="9" width="11.6640625" style="4" customWidth="1"/>
    <col min="10" max="10" width="13.44140625" style="4" bestFit="1" customWidth="1"/>
    <col min="11" max="11" width="11.109375" style="4" bestFit="1" customWidth="1"/>
    <col min="12" max="12" width="12.33203125" style="4" bestFit="1" customWidth="1"/>
    <col min="13" max="13" width="12.21875" style="4" bestFit="1" customWidth="1"/>
    <col min="14" max="14" width="12.33203125" style="4" bestFit="1" customWidth="1"/>
    <col min="15" max="15" width="13.5546875" style="4" bestFit="1" customWidth="1"/>
    <col min="16" max="17" width="12.33203125" style="4" bestFit="1" customWidth="1"/>
    <col min="18" max="18" width="10.21875" style="4" bestFit="1" customWidth="1"/>
    <col min="19" max="19" width="9.44140625" style="4" customWidth="1"/>
    <col min="20" max="21" width="13.44140625" style="4" bestFit="1" customWidth="1"/>
    <col min="22" max="22" width="15.33203125" style="4" hidden="1" customWidth="1"/>
    <col min="23" max="23" width="11.21875" style="693" bestFit="1" customWidth="1"/>
    <col min="24" max="24" width="15.6640625" style="4" bestFit="1" customWidth="1"/>
    <col min="25" max="16384" width="1.6640625" style="4"/>
  </cols>
  <sheetData>
    <row r="1" spans="1:24" ht="27.6" customHeight="1" x14ac:dyDescent="0.25">
      <c r="A1" s="634" t="s">
        <v>511</v>
      </c>
      <c r="B1" s="634"/>
      <c r="C1" s="634"/>
      <c r="D1" s="634"/>
      <c r="E1" s="634"/>
      <c r="F1" s="634"/>
      <c r="G1" s="634"/>
      <c r="H1" s="634"/>
      <c r="I1" s="634"/>
      <c r="J1" s="634"/>
      <c r="K1" s="634"/>
      <c r="L1" s="634"/>
      <c r="M1" s="634"/>
      <c r="N1" s="634"/>
      <c r="O1" s="634"/>
      <c r="P1" s="634"/>
      <c r="Q1" s="634"/>
      <c r="R1" s="634"/>
      <c r="S1" s="634"/>
      <c r="T1" s="634"/>
      <c r="U1" s="634"/>
      <c r="V1" s="270"/>
    </row>
    <row r="2" spans="1:24" customFormat="1" x14ac:dyDescent="0.25">
      <c r="A2" s="298"/>
      <c r="B2" s="353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W2" s="694"/>
    </row>
    <row r="3" spans="1:24" s="121" customFormat="1" ht="31.2" x14ac:dyDescent="0.25">
      <c r="A3" s="271"/>
      <c r="B3" s="272" t="s">
        <v>302</v>
      </c>
      <c r="C3" s="272" t="s">
        <v>303</v>
      </c>
      <c r="D3" s="272" t="s">
        <v>305</v>
      </c>
      <c r="E3" s="272" t="s">
        <v>304</v>
      </c>
      <c r="F3" s="272" t="s">
        <v>389</v>
      </c>
      <c r="G3" s="272" t="s">
        <v>387</v>
      </c>
      <c r="H3" s="272" t="s">
        <v>306</v>
      </c>
      <c r="I3" s="272" t="s">
        <v>314</v>
      </c>
      <c r="J3" s="272" t="s">
        <v>540</v>
      </c>
      <c r="K3" s="272" t="s">
        <v>307</v>
      </c>
      <c r="L3" s="272" t="s">
        <v>308</v>
      </c>
      <c r="M3" s="272" t="s">
        <v>309</v>
      </c>
      <c r="N3" s="272" t="s">
        <v>310</v>
      </c>
      <c r="O3" s="272" t="s">
        <v>311</v>
      </c>
      <c r="P3" s="272" t="s">
        <v>304</v>
      </c>
      <c r="Q3" s="272" t="s">
        <v>312</v>
      </c>
      <c r="R3" s="272" t="s">
        <v>316</v>
      </c>
      <c r="S3" s="272" t="s">
        <v>304</v>
      </c>
      <c r="T3" s="272" t="s">
        <v>313</v>
      </c>
      <c r="U3" s="272"/>
      <c r="V3" s="273"/>
      <c r="W3" s="695"/>
    </row>
    <row r="4" spans="1:24" s="122" customFormat="1" ht="47.4" thickBot="1" x14ac:dyDescent="0.3">
      <c r="A4" s="448"/>
      <c r="B4" s="449" t="s">
        <v>54</v>
      </c>
      <c r="C4" s="449" t="s">
        <v>275</v>
      </c>
      <c r="D4" s="449" t="s">
        <v>282</v>
      </c>
      <c r="E4" s="449" t="s">
        <v>276</v>
      </c>
      <c r="F4" s="449" t="s">
        <v>510</v>
      </c>
      <c r="G4" s="449" t="s">
        <v>344</v>
      </c>
      <c r="H4" s="449" t="s">
        <v>277</v>
      </c>
      <c r="I4" s="449" t="s">
        <v>509</v>
      </c>
      <c r="J4" s="449" t="s">
        <v>388</v>
      </c>
      <c r="K4" s="449" t="s">
        <v>279</v>
      </c>
      <c r="L4" s="449" t="s">
        <v>280</v>
      </c>
      <c r="M4" s="449" t="s">
        <v>281</v>
      </c>
      <c r="N4" s="449" t="s">
        <v>99</v>
      </c>
      <c r="O4" s="449" t="s">
        <v>283</v>
      </c>
      <c r="P4" s="449" t="s">
        <v>284</v>
      </c>
      <c r="Q4" s="449" t="s">
        <v>287</v>
      </c>
      <c r="R4" s="449" t="s">
        <v>317</v>
      </c>
      <c r="S4" s="449" t="s">
        <v>285</v>
      </c>
      <c r="T4" s="449" t="s">
        <v>286</v>
      </c>
      <c r="U4" s="449" t="s">
        <v>20</v>
      </c>
      <c r="V4" s="275" t="s">
        <v>469</v>
      </c>
      <c r="W4" s="696"/>
    </row>
    <row r="5" spans="1:24" s="267" customFormat="1" ht="31.2" x14ac:dyDescent="0.25">
      <c r="A5" s="446" t="s">
        <v>233</v>
      </c>
      <c r="B5" s="446" t="s">
        <v>234</v>
      </c>
      <c r="C5" s="355">
        <v>125000</v>
      </c>
      <c r="D5" s="355"/>
      <c r="E5" s="355"/>
      <c r="F5" s="355"/>
      <c r="G5" s="355"/>
      <c r="H5" s="355"/>
      <c r="I5" s="355">
        <v>25000</v>
      </c>
      <c r="J5" s="355"/>
      <c r="K5" s="355"/>
      <c r="L5" s="355">
        <v>95000</v>
      </c>
      <c r="M5" s="355"/>
      <c r="N5" s="355"/>
      <c r="O5" s="355"/>
      <c r="P5" s="355"/>
      <c r="Q5" s="355"/>
      <c r="R5" s="355"/>
      <c r="S5" s="355"/>
      <c r="T5" s="355"/>
      <c r="U5" s="447">
        <f t="shared" ref="U5:U25" si="0">SUM(C5:T5)</f>
        <v>245000</v>
      </c>
      <c r="V5" s="250">
        <f>'3b).Dologi kiad intézmény'!F5+'3b).Dologi kiad intézmény'!F29+'3b).Dologi kiad intézmény'!F52+'3b).Dologi kiad intézmény'!F75</f>
        <v>245000</v>
      </c>
      <c r="W5" s="697"/>
    </row>
    <row r="6" spans="1:24" s="267" customFormat="1" ht="31.2" x14ac:dyDescent="0.25">
      <c r="A6" s="274" t="s">
        <v>235</v>
      </c>
      <c r="B6" s="274" t="s">
        <v>236</v>
      </c>
      <c r="C6" s="278">
        <v>4314432</v>
      </c>
      <c r="D6" s="278">
        <v>10000</v>
      </c>
      <c r="E6" s="278"/>
      <c r="F6" s="278"/>
      <c r="G6" s="278"/>
      <c r="H6" s="278">
        <v>98000</v>
      </c>
      <c r="I6" s="278"/>
      <c r="J6" s="278">
        <v>16208740</v>
      </c>
      <c r="K6" s="278"/>
      <c r="L6" s="278">
        <v>800000</v>
      </c>
      <c r="M6" s="278"/>
      <c r="N6" s="278"/>
      <c r="O6" s="278">
        <v>1000000</v>
      </c>
      <c r="P6" s="278">
        <v>150000</v>
      </c>
      <c r="Q6" s="278">
        <v>31000</v>
      </c>
      <c r="R6" s="278"/>
      <c r="S6" s="278"/>
      <c r="T6" s="278">
        <v>7837828</v>
      </c>
      <c r="U6" s="252">
        <f t="shared" si="0"/>
        <v>30450000</v>
      </c>
      <c r="V6" s="250">
        <f>'3b).Dologi kiad intézmény'!F6+'3b).Dologi kiad intézmény'!F30+'3b).Dologi kiad intézmény'!F53+'3b).Dologi kiad intézmény'!F76</f>
        <v>30450000</v>
      </c>
      <c r="W6" s="697"/>
      <c r="X6" s="483"/>
    </row>
    <row r="7" spans="1:24" s="267" customFormat="1" ht="17.399999999999999" x14ac:dyDescent="0.25">
      <c r="A7" s="443" t="s">
        <v>237</v>
      </c>
      <c r="B7" s="443" t="s">
        <v>0</v>
      </c>
      <c r="C7" s="357">
        <f t="shared" ref="C7:T7" si="1">SUM(C5:C6)</f>
        <v>4439432</v>
      </c>
      <c r="D7" s="357">
        <f t="shared" si="1"/>
        <v>10000</v>
      </c>
      <c r="E7" s="357">
        <f t="shared" si="1"/>
        <v>0</v>
      </c>
      <c r="F7" s="357">
        <f t="shared" si="1"/>
        <v>0</v>
      </c>
      <c r="G7" s="357">
        <f t="shared" si="1"/>
        <v>0</v>
      </c>
      <c r="H7" s="357">
        <f t="shared" si="1"/>
        <v>98000</v>
      </c>
      <c r="I7" s="357">
        <f t="shared" si="1"/>
        <v>25000</v>
      </c>
      <c r="J7" s="357">
        <f t="shared" si="1"/>
        <v>16208740</v>
      </c>
      <c r="K7" s="357">
        <f t="shared" si="1"/>
        <v>0</v>
      </c>
      <c r="L7" s="357">
        <f t="shared" si="1"/>
        <v>895000</v>
      </c>
      <c r="M7" s="357">
        <f t="shared" si="1"/>
        <v>0</v>
      </c>
      <c r="N7" s="357">
        <f t="shared" si="1"/>
        <v>0</v>
      </c>
      <c r="O7" s="357">
        <f t="shared" si="1"/>
        <v>1000000</v>
      </c>
      <c r="P7" s="357">
        <f t="shared" si="1"/>
        <v>150000</v>
      </c>
      <c r="Q7" s="357">
        <f t="shared" si="1"/>
        <v>31000</v>
      </c>
      <c r="R7" s="357">
        <f t="shared" si="1"/>
        <v>0</v>
      </c>
      <c r="S7" s="357">
        <f t="shared" si="1"/>
        <v>0</v>
      </c>
      <c r="T7" s="357">
        <f t="shared" si="1"/>
        <v>7837828</v>
      </c>
      <c r="U7" s="252">
        <f>SUM(C7:T7)</f>
        <v>30695000</v>
      </c>
      <c r="V7" s="250">
        <f>'3b).Dologi kiad intézmény'!F7+'3b).Dologi kiad intézmény'!F31+'3b).Dologi kiad intézmény'!F54+'3b).Dologi kiad intézmény'!F77</f>
        <v>30695000</v>
      </c>
      <c r="W7" s="697"/>
    </row>
    <row r="8" spans="1:24" s="267" customFormat="1" ht="46.8" x14ac:dyDescent="0.25">
      <c r="A8" s="274" t="s">
        <v>238</v>
      </c>
      <c r="B8" s="274" t="s">
        <v>274</v>
      </c>
      <c r="C8" s="278"/>
      <c r="D8" s="278"/>
      <c r="E8" s="278"/>
      <c r="F8" s="278"/>
      <c r="G8" s="278"/>
      <c r="H8" s="278"/>
      <c r="I8" s="278"/>
      <c r="J8" s="278"/>
      <c r="K8" s="278"/>
      <c r="L8" s="278"/>
      <c r="M8" s="278"/>
      <c r="N8" s="278"/>
      <c r="O8" s="278">
        <v>512000</v>
      </c>
      <c r="P8" s="278"/>
      <c r="Q8" s="278"/>
      <c r="R8" s="278"/>
      <c r="S8" s="278"/>
      <c r="T8" s="278">
        <v>538000</v>
      </c>
      <c r="U8" s="252">
        <f t="shared" si="0"/>
        <v>1050000</v>
      </c>
      <c r="V8" s="250">
        <f>'3b).Dologi kiad intézmény'!F8+'3b).Dologi kiad intézmény'!F32+'3b).Dologi kiad intézmény'!F55+'3b).Dologi kiad intézmény'!F78</f>
        <v>1050000</v>
      </c>
      <c r="W8" s="697"/>
    </row>
    <row r="9" spans="1:24" s="267" customFormat="1" ht="31.2" x14ac:dyDescent="0.25">
      <c r="A9" s="274" t="s">
        <v>239</v>
      </c>
      <c r="B9" s="274" t="s">
        <v>3</v>
      </c>
      <c r="C9" s="278"/>
      <c r="D9" s="278">
        <v>40000</v>
      </c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8"/>
      <c r="P9" s="278">
        <v>40000</v>
      </c>
      <c r="Q9" s="278"/>
      <c r="R9" s="278"/>
      <c r="S9" s="278"/>
      <c r="T9" s="278">
        <v>495000</v>
      </c>
      <c r="U9" s="252">
        <f t="shared" si="0"/>
        <v>575000</v>
      </c>
      <c r="V9" s="250">
        <f>'3b).Dologi kiad intézmény'!F9+'3b).Dologi kiad intézmény'!F33+'3b).Dologi kiad intézmény'!F56+'3b).Dologi kiad intézmény'!F79</f>
        <v>575000</v>
      </c>
      <c r="W9" s="697"/>
    </row>
    <row r="10" spans="1:24" s="267" customFormat="1" ht="31.2" x14ac:dyDescent="0.25">
      <c r="A10" s="443" t="s">
        <v>240</v>
      </c>
      <c r="B10" s="443" t="s">
        <v>2</v>
      </c>
      <c r="C10" s="357">
        <f t="shared" ref="C10:T10" si="2">SUM(C8:C9)</f>
        <v>0</v>
      </c>
      <c r="D10" s="357">
        <f t="shared" si="2"/>
        <v>40000</v>
      </c>
      <c r="E10" s="357">
        <f t="shared" si="2"/>
        <v>0</v>
      </c>
      <c r="F10" s="357">
        <f t="shared" si="2"/>
        <v>0</v>
      </c>
      <c r="G10" s="357">
        <f t="shared" si="2"/>
        <v>0</v>
      </c>
      <c r="H10" s="357">
        <f t="shared" si="2"/>
        <v>0</v>
      </c>
      <c r="I10" s="357">
        <f t="shared" si="2"/>
        <v>0</v>
      </c>
      <c r="J10" s="357">
        <f t="shared" si="2"/>
        <v>0</v>
      </c>
      <c r="K10" s="357">
        <f t="shared" si="2"/>
        <v>0</v>
      </c>
      <c r="L10" s="357">
        <f t="shared" si="2"/>
        <v>0</v>
      </c>
      <c r="M10" s="357">
        <f t="shared" si="2"/>
        <v>0</v>
      </c>
      <c r="N10" s="357">
        <f t="shared" si="2"/>
        <v>0</v>
      </c>
      <c r="O10" s="357">
        <f t="shared" si="2"/>
        <v>512000</v>
      </c>
      <c r="P10" s="357">
        <f t="shared" si="2"/>
        <v>40000</v>
      </c>
      <c r="Q10" s="357">
        <f t="shared" si="2"/>
        <v>0</v>
      </c>
      <c r="R10" s="357">
        <f t="shared" si="2"/>
        <v>0</v>
      </c>
      <c r="S10" s="357">
        <f t="shared" si="2"/>
        <v>0</v>
      </c>
      <c r="T10" s="357">
        <f t="shared" si="2"/>
        <v>1033000</v>
      </c>
      <c r="U10" s="252">
        <f t="shared" si="0"/>
        <v>1625000</v>
      </c>
      <c r="V10" s="250">
        <f>'3b).Dologi kiad intézmény'!F10+'3b).Dologi kiad intézmény'!F34+'3b).Dologi kiad intézmény'!F57+'3b).Dologi kiad intézmény'!F80</f>
        <v>1625000</v>
      </c>
      <c r="W10" s="697"/>
    </row>
    <row r="11" spans="1:24" s="267" customFormat="1" ht="17.399999999999999" x14ac:dyDescent="0.25">
      <c r="A11" s="274" t="s">
        <v>241</v>
      </c>
      <c r="B11" s="274" t="s">
        <v>242</v>
      </c>
      <c r="C11" s="278"/>
      <c r="D11" s="278">
        <v>550000</v>
      </c>
      <c r="E11" s="278">
        <v>3000</v>
      </c>
      <c r="F11" s="278"/>
      <c r="G11" s="278">
        <v>300000</v>
      </c>
      <c r="H11" s="278">
        <v>150000</v>
      </c>
      <c r="I11" s="278"/>
      <c r="J11" s="278">
        <v>1000</v>
      </c>
      <c r="K11" s="278">
        <v>10000</v>
      </c>
      <c r="L11" s="278">
        <v>3000</v>
      </c>
      <c r="M11" s="278">
        <v>7000</v>
      </c>
      <c r="N11" s="278">
        <v>3800000</v>
      </c>
      <c r="O11" s="278">
        <v>910000</v>
      </c>
      <c r="P11" s="278">
        <v>800000</v>
      </c>
      <c r="Q11" s="278">
        <v>1110000</v>
      </c>
      <c r="R11" s="278"/>
      <c r="S11" s="278"/>
      <c r="T11" s="278">
        <v>3656000</v>
      </c>
      <c r="U11" s="252">
        <f>SUM(C11:T11)</f>
        <v>11300000</v>
      </c>
      <c r="V11" s="250">
        <f>'3b).Dologi kiad intézmény'!F11+'3b).Dologi kiad intézmény'!F35+'3b).Dologi kiad intézmény'!F58+'3b).Dologi kiad intézmény'!F81</f>
        <v>11300000</v>
      </c>
      <c r="W11" s="697"/>
    </row>
    <row r="12" spans="1:24" s="267" customFormat="1" ht="17.399999999999999" x14ac:dyDescent="0.25">
      <c r="A12" s="274" t="s">
        <v>243</v>
      </c>
      <c r="B12" s="274" t="s">
        <v>4</v>
      </c>
      <c r="C12" s="278">
        <v>16000</v>
      </c>
      <c r="D12" s="278"/>
      <c r="E12" s="278"/>
      <c r="F12" s="278"/>
      <c r="G12" s="278"/>
      <c r="H12" s="278"/>
      <c r="I12" s="278"/>
      <c r="J12" s="278"/>
      <c r="K12" s="278"/>
      <c r="L12" s="278"/>
      <c r="M12" s="278"/>
      <c r="N12" s="278"/>
      <c r="O12" s="278">
        <v>2000</v>
      </c>
      <c r="P12" s="278"/>
      <c r="Q12" s="278"/>
      <c r="R12" s="278"/>
      <c r="S12" s="278"/>
      <c r="T12" s="278">
        <v>37000</v>
      </c>
      <c r="U12" s="252">
        <f t="shared" ref="U12:U17" si="3">SUM(C12:T12)</f>
        <v>55000</v>
      </c>
      <c r="V12" s="250">
        <f>'3b).Dologi kiad intézmény'!F12+'3b).Dologi kiad intézmény'!F36+'3b).Dologi kiad intézmény'!F59+'3b).Dologi kiad intézmény'!F82</f>
        <v>55000</v>
      </c>
      <c r="W12" s="697"/>
    </row>
    <row r="13" spans="1:24" s="267" customFormat="1" ht="17.399999999999999" x14ac:dyDescent="0.25">
      <c r="A13" s="274" t="s">
        <v>244</v>
      </c>
      <c r="B13" s="274" t="s">
        <v>5</v>
      </c>
      <c r="C13" s="278"/>
      <c r="D13" s="278"/>
      <c r="E13" s="278"/>
      <c r="F13" s="278">
        <v>30000</v>
      </c>
      <c r="G13" s="278"/>
      <c r="H13" s="278"/>
      <c r="I13" s="278"/>
      <c r="J13" s="278"/>
      <c r="K13" s="278"/>
      <c r="L13" s="278"/>
      <c r="M13" s="278"/>
      <c r="N13" s="278"/>
      <c r="O13" s="278">
        <v>230000</v>
      </c>
      <c r="P13" s="278"/>
      <c r="Q13" s="278"/>
      <c r="R13" s="278"/>
      <c r="S13" s="278"/>
      <c r="T13" s="278">
        <v>200000</v>
      </c>
      <c r="U13" s="252">
        <f t="shared" si="3"/>
        <v>460000</v>
      </c>
      <c r="V13" s="250">
        <f>'3b).Dologi kiad intézmény'!F13+'3b).Dologi kiad intézmény'!F37+'3b).Dologi kiad intézmény'!F60+'3b).Dologi kiad intézmény'!F83</f>
        <v>460000</v>
      </c>
      <c r="W13" s="697"/>
    </row>
    <row r="14" spans="1:24" s="267" customFormat="1" ht="31.2" x14ac:dyDescent="0.25">
      <c r="A14" s="274" t="s">
        <v>245</v>
      </c>
      <c r="B14" s="274" t="s">
        <v>247</v>
      </c>
      <c r="C14" s="278"/>
      <c r="D14" s="278">
        <v>56000</v>
      </c>
      <c r="E14" s="278"/>
      <c r="F14" s="278"/>
      <c r="G14" s="278"/>
      <c r="H14" s="278"/>
      <c r="I14" s="278"/>
      <c r="J14" s="278"/>
      <c r="K14" s="278"/>
      <c r="L14" s="278">
        <v>120000</v>
      </c>
      <c r="M14" s="278"/>
      <c r="N14" s="278"/>
      <c r="O14" s="278">
        <v>50000</v>
      </c>
      <c r="P14" s="278">
        <v>189000</v>
      </c>
      <c r="Q14" s="278"/>
      <c r="R14" s="278"/>
      <c r="S14" s="278"/>
      <c r="T14" s="278">
        <v>515000</v>
      </c>
      <c r="U14" s="252">
        <f t="shared" si="3"/>
        <v>930000</v>
      </c>
      <c r="V14" s="250">
        <f>'3b).Dologi kiad intézmény'!F14+'3b).Dologi kiad intézmény'!F38+'3b).Dologi kiad intézmény'!F61+'3b).Dologi kiad intézmény'!F84</f>
        <v>930000</v>
      </c>
      <c r="W14" s="697"/>
    </row>
    <row r="15" spans="1:24" s="267" customFormat="1" ht="17.399999999999999" x14ac:dyDescent="0.25">
      <c r="A15" s="274" t="s">
        <v>246</v>
      </c>
      <c r="B15" s="274" t="s">
        <v>248</v>
      </c>
      <c r="C15" s="278"/>
      <c r="D15" s="278">
        <v>2450000</v>
      </c>
      <c r="E15" s="278"/>
      <c r="F15" s="278"/>
      <c r="G15" s="278"/>
      <c r="H15" s="278">
        <v>25000</v>
      </c>
      <c r="I15" s="278"/>
      <c r="J15" s="278"/>
      <c r="K15" s="278"/>
      <c r="L15" s="278"/>
      <c r="M15" s="278"/>
      <c r="N15" s="278"/>
      <c r="O15" s="278"/>
      <c r="P15" s="278">
        <v>25000</v>
      </c>
      <c r="Q15" s="278"/>
      <c r="R15" s="278"/>
      <c r="S15" s="278"/>
      <c r="T15" s="278"/>
      <c r="U15" s="252">
        <f t="shared" si="3"/>
        <v>2500000</v>
      </c>
      <c r="V15" s="250">
        <f>'3b).Dologi kiad intézmény'!F15</f>
        <v>2500000</v>
      </c>
      <c r="W15" s="697"/>
    </row>
    <row r="16" spans="1:24" s="267" customFormat="1" ht="31.2" x14ac:dyDescent="0.25">
      <c r="A16" s="274" t="s">
        <v>249</v>
      </c>
      <c r="B16" s="274" t="s">
        <v>250</v>
      </c>
      <c r="C16" s="278">
        <v>10000</v>
      </c>
      <c r="D16" s="278"/>
      <c r="E16" s="278"/>
      <c r="F16" s="278"/>
      <c r="G16" s="278"/>
      <c r="H16" s="278"/>
      <c r="I16" s="278"/>
      <c r="J16" s="278"/>
      <c r="K16" s="278"/>
      <c r="L16" s="278">
        <v>710000</v>
      </c>
      <c r="M16" s="278"/>
      <c r="N16" s="278"/>
      <c r="O16" s="278">
        <v>55000</v>
      </c>
      <c r="P16" s="278"/>
      <c r="Q16" s="278"/>
      <c r="R16" s="278"/>
      <c r="S16" s="278"/>
      <c r="T16" s="278">
        <v>1925000</v>
      </c>
      <c r="U16" s="252">
        <f t="shared" si="3"/>
        <v>2700000</v>
      </c>
      <c r="V16" s="250">
        <f>'3b).Dologi kiad intézmény'!F16+'3b).Dologi kiad intézmény'!F39+'3b).Dologi kiad intézmény'!F62+'3b).Dologi kiad intézmény'!F85</f>
        <v>2700000</v>
      </c>
      <c r="W16" s="697"/>
    </row>
    <row r="17" spans="1:23" s="267" customFormat="1" ht="17.399999999999999" x14ac:dyDescent="0.25">
      <c r="A17" s="274" t="s">
        <v>251</v>
      </c>
      <c r="B17" s="274" t="s">
        <v>252</v>
      </c>
      <c r="C17" s="278">
        <v>9000</v>
      </c>
      <c r="D17" s="278">
        <v>155000</v>
      </c>
      <c r="E17" s="278"/>
      <c r="F17" s="278">
        <v>300000</v>
      </c>
      <c r="G17" s="278"/>
      <c r="H17" s="278">
        <v>8000</v>
      </c>
      <c r="I17" s="278"/>
      <c r="J17" s="278">
        <v>733000</v>
      </c>
      <c r="K17" s="278">
        <v>125000</v>
      </c>
      <c r="L17" s="278">
        <v>102000</v>
      </c>
      <c r="M17" s="278">
        <v>860000</v>
      </c>
      <c r="N17" s="278"/>
      <c r="O17" s="278">
        <v>1751000</v>
      </c>
      <c r="P17" s="278">
        <v>488000</v>
      </c>
      <c r="Q17" s="278">
        <v>33000</v>
      </c>
      <c r="R17" s="278"/>
      <c r="S17" s="278"/>
      <c r="T17" s="278">
        <v>11656000</v>
      </c>
      <c r="U17" s="252">
        <f t="shared" si="3"/>
        <v>16220000</v>
      </c>
      <c r="V17" s="250">
        <f>'3b).Dologi kiad intézmény'!F17+'3b).Dologi kiad intézmény'!F40+'3b).Dologi kiad intézmény'!F63+'3b).Dologi kiad intézmény'!F86</f>
        <v>16220000</v>
      </c>
      <c r="W17" s="697"/>
    </row>
    <row r="18" spans="1:23" s="267" customFormat="1" ht="17.399999999999999" x14ac:dyDescent="0.25">
      <c r="A18" s="443" t="s">
        <v>253</v>
      </c>
      <c r="B18" s="443" t="s">
        <v>254</v>
      </c>
      <c r="C18" s="357">
        <f>SUM(C11:C17)</f>
        <v>35000</v>
      </c>
      <c r="D18" s="357">
        <f t="shared" ref="D18:S18" si="4">SUM(D11:D17)</f>
        <v>3211000</v>
      </c>
      <c r="E18" s="357">
        <f t="shared" si="4"/>
        <v>3000</v>
      </c>
      <c r="F18" s="357">
        <f t="shared" si="4"/>
        <v>330000</v>
      </c>
      <c r="G18" s="357">
        <f t="shared" si="4"/>
        <v>300000</v>
      </c>
      <c r="H18" s="357">
        <f t="shared" si="4"/>
        <v>183000</v>
      </c>
      <c r="I18" s="357">
        <f t="shared" si="4"/>
        <v>0</v>
      </c>
      <c r="J18" s="357">
        <f t="shared" si="4"/>
        <v>734000</v>
      </c>
      <c r="K18" s="357">
        <f t="shared" si="4"/>
        <v>135000</v>
      </c>
      <c r="L18" s="357">
        <f t="shared" si="4"/>
        <v>935000</v>
      </c>
      <c r="M18" s="357">
        <f t="shared" si="4"/>
        <v>867000</v>
      </c>
      <c r="N18" s="357">
        <f t="shared" si="4"/>
        <v>3800000</v>
      </c>
      <c r="O18" s="357">
        <f t="shared" si="4"/>
        <v>2998000</v>
      </c>
      <c r="P18" s="357">
        <f t="shared" si="4"/>
        <v>1502000</v>
      </c>
      <c r="Q18" s="357">
        <f t="shared" si="4"/>
        <v>1143000</v>
      </c>
      <c r="R18" s="357">
        <f t="shared" si="4"/>
        <v>0</v>
      </c>
      <c r="S18" s="357">
        <f t="shared" si="4"/>
        <v>0</v>
      </c>
      <c r="T18" s="357">
        <f>SUM(T11:T17)</f>
        <v>17989000</v>
      </c>
      <c r="U18" s="252">
        <f>SUM(C18:T18)</f>
        <v>34165000</v>
      </c>
      <c r="V18" s="250">
        <f>'3b).Dologi kiad intézmény'!F18+'3b).Dologi kiad intézmény'!F41+'3b).Dologi kiad intézmény'!F64+'3b).Dologi kiad intézmény'!F87</f>
        <v>34165000</v>
      </c>
      <c r="W18" s="697"/>
    </row>
    <row r="19" spans="1:23" s="267" customFormat="1" ht="17.399999999999999" x14ac:dyDescent="0.25">
      <c r="A19" s="274" t="s">
        <v>255</v>
      </c>
      <c r="B19" s="274" t="s">
        <v>256</v>
      </c>
      <c r="C19" s="278">
        <v>45000</v>
      </c>
      <c r="D19" s="278"/>
      <c r="E19" s="278"/>
      <c r="F19" s="278"/>
      <c r="G19" s="278"/>
      <c r="H19" s="278"/>
      <c r="I19" s="278"/>
      <c r="J19" s="278"/>
      <c r="K19" s="278"/>
      <c r="L19" s="278"/>
      <c r="M19" s="278"/>
      <c r="N19" s="278"/>
      <c r="O19" s="278">
        <v>55000</v>
      </c>
      <c r="P19" s="278"/>
      <c r="Q19" s="278"/>
      <c r="R19" s="278"/>
      <c r="S19" s="278"/>
      <c r="T19" s="278">
        <v>245000</v>
      </c>
      <c r="U19" s="252">
        <f t="shared" si="0"/>
        <v>345000</v>
      </c>
      <c r="V19" s="250">
        <f>'3b).Dologi kiad intézmény'!F19+'3b).Dologi kiad intézmény'!F42+'3b).Dologi kiad intézmény'!F65+'3b).Dologi kiad intézmény'!F88</f>
        <v>345000</v>
      </c>
      <c r="W19" s="697"/>
    </row>
    <row r="20" spans="1:23" s="267" customFormat="1" ht="31.2" x14ac:dyDescent="0.25">
      <c r="A20" s="443" t="s">
        <v>257</v>
      </c>
      <c r="B20" s="443" t="s">
        <v>258</v>
      </c>
      <c r="C20" s="357">
        <f t="shared" ref="C20:T20" si="5">SUM(C19:C19)</f>
        <v>45000</v>
      </c>
      <c r="D20" s="357">
        <f t="shared" si="5"/>
        <v>0</v>
      </c>
      <c r="E20" s="357">
        <f t="shared" si="5"/>
        <v>0</v>
      </c>
      <c r="F20" s="357">
        <f t="shared" si="5"/>
        <v>0</v>
      </c>
      <c r="G20" s="357">
        <f t="shared" si="5"/>
        <v>0</v>
      </c>
      <c r="H20" s="357">
        <f t="shared" si="5"/>
        <v>0</v>
      </c>
      <c r="I20" s="357">
        <f t="shared" si="5"/>
        <v>0</v>
      </c>
      <c r="J20" s="357">
        <f t="shared" si="5"/>
        <v>0</v>
      </c>
      <c r="K20" s="357">
        <f t="shared" si="5"/>
        <v>0</v>
      </c>
      <c r="L20" s="357">
        <f t="shared" si="5"/>
        <v>0</v>
      </c>
      <c r="M20" s="357">
        <f t="shared" si="5"/>
        <v>0</v>
      </c>
      <c r="N20" s="357">
        <f t="shared" si="5"/>
        <v>0</v>
      </c>
      <c r="O20" s="357">
        <f t="shared" si="5"/>
        <v>55000</v>
      </c>
      <c r="P20" s="357">
        <f t="shared" si="5"/>
        <v>0</v>
      </c>
      <c r="Q20" s="357">
        <f t="shared" si="5"/>
        <v>0</v>
      </c>
      <c r="R20" s="357">
        <f t="shared" si="5"/>
        <v>0</v>
      </c>
      <c r="S20" s="357">
        <f t="shared" si="5"/>
        <v>0</v>
      </c>
      <c r="T20" s="357">
        <f t="shared" si="5"/>
        <v>245000</v>
      </c>
      <c r="U20" s="252">
        <f t="shared" si="0"/>
        <v>345000</v>
      </c>
      <c r="V20" s="250">
        <f>'3b).Dologi kiad intézmény'!F20+'3b).Dologi kiad intézmény'!F43+'3b).Dologi kiad intézmény'!F66+'3b).Dologi kiad intézmény'!F89</f>
        <v>345000</v>
      </c>
      <c r="W20" s="697"/>
    </row>
    <row r="21" spans="1:23" s="267" customFormat="1" ht="31.2" x14ac:dyDescent="0.25">
      <c r="A21" s="274" t="s">
        <v>259</v>
      </c>
      <c r="B21" s="274" t="s">
        <v>609</v>
      </c>
      <c r="C21" s="278">
        <v>1750000</v>
      </c>
      <c r="D21" s="278">
        <v>270000</v>
      </c>
      <c r="E21" s="278"/>
      <c r="F21" s="278">
        <v>95000</v>
      </c>
      <c r="G21" s="278"/>
      <c r="H21" s="278">
        <v>160000</v>
      </c>
      <c r="I21" s="278"/>
      <c r="J21" s="278">
        <v>5000</v>
      </c>
      <c r="K21" s="278">
        <v>36000</v>
      </c>
      <c r="L21" s="278">
        <v>430000</v>
      </c>
      <c r="M21" s="278">
        <v>5000</v>
      </c>
      <c r="N21" s="278">
        <v>410000</v>
      </c>
      <c r="O21" s="278">
        <v>3140000</v>
      </c>
      <c r="P21" s="278">
        <v>335000</v>
      </c>
      <c r="Q21" s="278">
        <v>105000</v>
      </c>
      <c r="R21" s="278"/>
      <c r="S21" s="278"/>
      <c r="T21" s="278">
        <v>5444000</v>
      </c>
      <c r="U21" s="252">
        <f t="shared" si="0"/>
        <v>12185000</v>
      </c>
      <c r="V21" s="250">
        <f>'3b).Dologi kiad intézmény'!F21+'3b).Dologi kiad intézmény'!F44+'3b).Dologi kiad intézmény'!F67+'3b).Dologi kiad intézmény'!F90</f>
        <v>12185000</v>
      </c>
      <c r="W21" s="697"/>
    </row>
    <row r="22" spans="1:23" s="267" customFormat="1" ht="17.399999999999999" x14ac:dyDescent="0.25">
      <c r="A22" s="274" t="s">
        <v>261</v>
      </c>
      <c r="B22" s="274" t="s">
        <v>262</v>
      </c>
      <c r="C22" s="278"/>
      <c r="D22" s="278"/>
      <c r="E22" s="278"/>
      <c r="F22" s="278"/>
      <c r="G22" s="278"/>
      <c r="H22" s="278"/>
      <c r="I22" s="278"/>
      <c r="J22" s="278"/>
      <c r="K22" s="278"/>
      <c r="L22" s="278"/>
      <c r="M22" s="278"/>
      <c r="N22" s="278"/>
      <c r="O22" s="278"/>
      <c r="P22" s="278"/>
      <c r="Q22" s="278"/>
      <c r="R22" s="278"/>
      <c r="S22" s="278"/>
      <c r="T22" s="278">
        <v>5300000</v>
      </c>
      <c r="U22" s="252">
        <f t="shared" si="0"/>
        <v>5300000</v>
      </c>
      <c r="V22" s="250">
        <f>'3b).Dologi kiad intézmény'!F22+'3b).Dologi kiad intézmény'!F45+'3b).Dologi kiad intézmény'!F68+'3b).Dologi kiad intézmény'!F91</f>
        <v>5300000</v>
      </c>
      <c r="W22" s="697"/>
    </row>
    <row r="23" spans="1:23" s="267" customFormat="1" ht="17.399999999999999" x14ac:dyDescent="0.25">
      <c r="A23" s="274" t="s">
        <v>263</v>
      </c>
      <c r="B23" s="274" t="s">
        <v>264</v>
      </c>
      <c r="C23" s="278"/>
      <c r="D23" s="278"/>
      <c r="E23" s="278"/>
      <c r="F23" s="278"/>
      <c r="G23" s="278"/>
      <c r="H23" s="278"/>
      <c r="I23" s="278"/>
      <c r="J23" s="278"/>
      <c r="K23" s="278"/>
      <c r="L23" s="278"/>
      <c r="M23" s="278"/>
      <c r="N23" s="278"/>
      <c r="O23" s="278"/>
      <c r="P23" s="278"/>
      <c r="Q23" s="278"/>
      <c r="R23" s="278"/>
      <c r="S23" s="278"/>
      <c r="T23" s="278"/>
      <c r="U23" s="252">
        <f t="shared" si="0"/>
        <v>0</v>
      </c>
      <c r="V23" s="250">
        <f>'3b).Dologi kiad intézmény'!F23+'3b).Dologi kiad intézmény'!F46+'3b).Dologi kiad intézmény'!F69+'3b).Dologi kiad intézmény'!F92</f>
        <v>0</v>
      </c>
      <c r="W23" s="697"/>
    </row>
    <row r="24" spans="1:23" s="267" customFormat="1" ht="17.399999999999999" x14ac:dyDescent="0.25">
      <c r="A24" s="274" t="s">
        <v>265</v>
      </c>
      <c r="B24" s="274" t="s">
        <v>266</v>
      </c>
      <c r="C24" s="278"/>
      <c r="D24" s="278"/>
      <c r="E24" s="278"/>
      <c r="F24" s="278"/>
      <c r="G24" s="278"/>
      <c r="H24" s="278"/>
      <c r="I24" s="278"/>
      <c r="J24" s="278"/>
      <c r="K24" s="278"/>
      <c r="L24" s="278">
        <v>95000</v>
      </c>
      <c r="M24" s="278"/>
      <c r="N24" s="278"/>
      <c r="O24" s="278">
        <v>300000</v>
      </c>
      <c r="P24" s="278"/>
      <c r="Q24" s="278"/>
      <c r="R24" s="278"/>
      <c r="S24" s="278"/>
      <c r="T24" s="278">
        <v>715000</v>
      </c>
      <c r="U24" s="252">
        <f t="shared" si="0"/>
        <v>1110000</v>
      </c>
      <c r="V24" s="250">
        <f>'3b).Dologi kiad intézmény'!F24+'3b).Dologi kiad intézmény'!F47+'3b).Dologi kiad intézmény'!F70+'3b).Dologi kiad intézmény'!F93</f>
        <v>1110000</v>
      </c>
      <c r="W24" s="697"/>
    </row>
    <row r="25" spans="1:23" s="267" customFormat="1" ht="31.2" x14ac:dyDescent="0.25">
      <c r="A25" s="444" t="s">
        <v>267</v>
      </c>
      <c r="B25" s="444" t="s">
        <v>268</v>
      </c>
      <c r="C25" s="357">
        <f t="shared" ref="C25:T25" si="6">SUM(C21:C24)</f>
        <v>1750000</v>
      </c>
      <c r="D25" s="357">
        <f t="shared" si="6"/>
        <v>270000</v>
      </c>
      <c r="E25" s="357">
        <f t="shared" si="6"/>
        <v>0</v>
      </c>
      <c r="F25" s="357">
        <f t="shared" si="6"/>
        <v>95000</v>
      </c>
      <c r="G25" s="357">
        <f t="shared" si="6"/>
        <v>0</v>
      </c>
      <c r="H25" s="357">
        <f t="shared" si="6"/>
        <v>160000</v>
      </c>
      <c r="I25" s="357">
        <f t="shared" si="6"/>
        <v>0</v>
      </c>
      <c r="J25" s="357">
        <f t="shared" si="6"/>
        <v>5000</v>
      </c>
      <c r="K25" s="357">
        <f t="shared" si="6"/>
        <v>36000</v>
      </c>
      <c r="L25" s="357">
        <f t="shared" si="6"/>
        <v>525000</v>
      </c>
      <c r="M25" s="357">
        <f t="shared" si="6"/>
        <v>5000</v>
      </c>
      <c r="N25" s="357">
        <f t="shared" si="6"/>
        <v>410000</v>
      </c>
      <c r="O25" s="357">
        <f t="shared" si="6"/>
        <v>3440000</v>
      </c>
      <c r="P25" s="357">
        <f t="shared" si="6"/>
        <v>335000</v>
      </c>
      <c r="Q25" s="357">
        <f t="shared" si="6"/>
        <v>105000</v>
      </c>
      <c r="R25" s="357">
        <f t="shared" si="6"/>
        <v>0</v>
      </c>
      <c r="S25" s="357">
        <f t="shared" si="6"/>
        <v>0</v>
      </c>
      <c r="T25" s="357">
        <f t="shared" si="6"/>
        <v>11459000</v>
      </c>
      <c r="U25" s="252">
        <f t="shared" si="0"/>
        <v>18595000</v>
      </c>
      <c r="V25" s="250">
        <f>'3b).Dologi kiad intézmény'!F25+'3b).Dologi kiad intézmény'!F48+'3b).Dologi kiad intézmény'!F71+'3b).Dologi kiad intézmény'!F94</f>
        <v>18595000</v>
      </c>
      <c r="W25" s="697"/>
    </row>
    <row r="26" spans="1:23" s="268" customFormat="1" ht="29.4" customHeight="1" x14ac:dyDescent="0.25">
      <c r="A26" s="445" t="s">
        <v>269</v>
      </c>
      <c r="B26" s="445" t="s">
        <v>37</v>
      </c>
      <c r="C26" s="257">
        <f t="shared" ref="C26:U26" si="7">(C7+C10+C18+C20+C25)</f>
        <v>6269432</v>
      </c>
      <c r="D26" s="257">
        <f t="shared" si="7"/>
        <v>3531000</v>
      </c>
      <c r="E26" s="257">
        <f t="shared" si="7"/>
        <v>3000</v>
      </c>
      <c r="F26" s="257">
        <f t="shared" si="7"/>
        <v>425000</v>
      </c>
      <c r="G26" s="257">
        <f t="shared" si="7"/>
        <v>300000</v>
      </c>
      <c r="H26" s="257">
        <f t="shared" si="7"/>
        <v>441000</v>
      </c>
      <c r="I26" s="257">
        <f t="shared" si="7"/>
        <v>25000</v>
      </c>
      <c r="J26" s="257">
        <f t="shared" si="7"/>
        <v>16947740</v>
      </c>
      <c r="K26" s="257">
        <f t="shared" si="7"/>
        <v>171000</v>
      </c>
      <c r="L26" s="257">
        <f t="shared" si="7"/>
        <v>2355000</v>
      </c>
      <c r="M26" s="257">
        <f t="shared" si="7"/>
        <v>872000</v>
      </c>
      <c r="N26" s="257">
        <f t="shared" si="7"/>
        <v>4210000</v>
      </c>
      <c r="O26" s="257">
        <f t="shared" si="7"/>
        <v>8005000</v>
      </c>
      <c r="P26" s="257">
        <f t="shared" si="7"/>
        <v>2027000</v>
      </c>
      <c r="Q26" s="257">
        <f t="shared" si="7"/>
        <v>1279000</v>
      </c>
      <c r="R26" s="257">
        <f t="shared" si="7"/>
        <v>0</v>
      </c>
      <c r="S26" s="257">
        <f t="shared" si="7"/>
        <v>0</v>
      </c>
      <c r="T26" s="257">
        <f t="shared" si="7"/>
        <v>38563828</v>
      </c>
      <c r="U26" s="257">
        <f t="shared" si="7"/>
        <v>85425000</v>
      </c>
      <c r="V26" s="250">
        <f>'3b).Dologi kiad intézmény'!F97</f>
        <v>85425000</v>
      </c>
      <c r="W26" s="697"/>
    </row>
    <row r="27" spans="1:23" ht="15.6" x14ac:dyDescent="0.25">
      <c r="U27" s="442">
        <f>V26</f>
        <v>85425000</v>
      </c>
      <c r="V27" s="270">
        <f>V26-U26</f>
        <v>0</v>
      </c>
    </row>
    <row r="28" spans="1:23" x14ac:dyDescent="0.25">
      <c r="U28" s="70">
        <f>U26-U27</f>
        <v>0</v>
      </c>
    </row>
  </sheetData>
  <mergeCells count="1">
    <mergeCell ref="A1:U1"/>
  </mergeCells>
  <printOptions horizontalCentered="1"/>
  <pageMargins left="7.874015748031496E-2" right="7.874015748031496E-2" top="0.62992125984251968" bottom="7.874015748031496E-2" header="0.31496062992125984" footer="0.31496062992125984"/>
  <pageSetup paperSize="9" scale="55" orientation="landscape" r:id="rId1"/>
  <headerFooter>
    <oddHeader>&amp;R3./c sz. melléklet
Ft-ban</oddHeader>
  </headerFooter>
  <ignoredErrors>
    <ignoredError sqref="F3:I3 K3:T3 D3:E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Munka16">
    <pageSetUpPr fitToPage="1"/>
  </sheetPr>
  <dimension ref="A1:G76"/>
  <sheetViews>
    <sheetView zoomScale="70" zoomScaleNormal="70" workbookViewId="0">
      <selection activeCell="G25" sqref="G25"/>
    </sheetView>
  </sheetViews>
  <sheetFormatPr defaultColWidth="9.109375" defaultRowHeight="13.2" x14ac:dyDescent="0.25"/>
  <cols>
    <col min="1" max="1" width="9.44140625" style="21" bestFit="1" customWidth="1"/>
    <col min="2" max="2" width="56.109375" style="21" bestFit="1" customWidth="1"/>
    <col min="3" max="3" width="17.77734375" style="3" customWidth="1"/>
    <col min="4" max="5" width="14.44140625" style="3" bestFit="1" customWidth="1"/>
    <col min="6" max="6" width="14" style="3" customWidth="1"/>
    <col min="7" max="7" width="14.77734375" style="3" bestFit="1" customWidth="1"/>
    <col min="8" max="16384" width="9.109375" style="21"/>
  </cols>
  <sheetData>
    <row r="1" spans="1:7" customFormat="1" ht="18" x14ac:dyDescent="0.25">
      <c r="A1" s="625" t="s">
        <v>489</v>
      </c>
      <c r="B1" s="626"/>
      <c r="C1" s="626"/>
      <c r="D1" s="626"/>
      <c r="E1" s="626"/>
      <c r="F1" s="626"/>
      <c r="G1" s="627"/>
    </row>
    <row r="2" spans="1:7" customFormat="1" ht="18" x14ac:dyDescent="0.25">
      <c r="A2" s="510" t="s">
        <v>484</v>
      </c>
      <c r="B2" s="511"/>
      <c r="C2" s="511"/>
      <c r="D2" s="511"/>
      <c r="E2" s="511"/>
      <c r="F2" s="511"/>
      <c r="G2" s="512"/>
    </row>
    <row r="3" spans="1:7" s="3" customFormat="1" ht="15.6" x14ac:dyDescent="0.25">
      <c r="A3" s="126"/>
    </row>
    <row r="4" spans="1:7" s="192" customFormat="1" ht="31.8" thickBot="1" x14ac:dyDescent="0.3">
      <c r="A4" s="628" t="s">
        <v>397</v>
      </c>
      <c r="B4" s="629"/>
      <c r="C4" s="376" t="s">
        <v>483</v>
      </c>
      <c r="D4" s="194" t="s">
        <v>466</v>
      </c>
      <c r="E4" s="194" t="s">
        <v>443</v>
      </c>
      <c r="F4" s="194" t="s">
        <v>444</v>
      </c>
      <c r="G4" s="194" t="s">
        <v>445</v>
      </c>
    </row>
    <row r="5" spans="1:7" ht="14.4" x14ac:dyDescent="0.25">
      <c r="A5" s="137" t="s">
        <v>121</v>
      </c>
      <c r="B5" s="326" t="s">
        <v>36</v>
      </c>
      <c r="C5" s="390">
        <v>59370333</v>
      </c>
      <c r="D5" s="195">
        <f>'3a).Személyi jutt intézmény'!D19</f>
        <v>59895238</v>
      </c>
      <c r="E5" s="195">
        <f>'3a).Személyi jutt intézmény'!E19</f>
        <v>62660738</v>
      </c>
      <c r="F5" s="195">
        <f>'3a).Személyi jutt intézmény'!F19</f>
        <v>62866452</v>
      </c>
      <c r="G5" s="390"/>
    </row>
    <row r="6" spans="1:7" ht="14.4" x14ac:dyDescent="0.25">
      <c r="A6" s="185" t="s">
        <v>120</v>
      </c>
      <c r="B6" s="327" t="s">
        <v>122</v>
      </c>
      <c r="C6" s="391">
        <v>9785720</v>
      </c>
      <c r="D6" s="196">
        <f>'3a).Személyi jutt intézmény'!D26</f>
        <v>6874761</v>
      </c>
      <c r="E6" s="196">
        <f>'3a).Személyi jutt intézmény'!E26</f>
        <v>7195285</v>
      </c>
      <c r="F6" s="196">
        <f>'3a).Személyi jutt intézmény'!F26</f>
        <v>9439673.75</v>
      </c>
      <c r="G6" s="391"/>
    </row>
    <row r="7" spans="1:7" ht="14.4" x14ac:dyDescent="0.25">
      <c r="A7" s="185" t="s">
        <v>123</v>
      </c>
      <c r="B7" s="327" t="s">
        <v>37</v>
      </c>
      <c r="C7" s="391">
        <v>56800000</v>
      </c>
      <c r="D7" s="196">
        <f>'3b).Dologi kiad intézmény'!D26</f>
        <v>42630000</v>
      </c>
      <c r="E7" s="196">
        <f>'3b).Dologi kiad intézmény'!E26</f>
        <v>42650000</v>
      </c>
      <c r="F7" s="196">
        <f>'3b).Dologi kiad intézmény'!F26</f>
        <v>50300000</v>
      </c>
      <c r="G7" s="391"/>
    </row>
    <row r="8" spans="1:7" ht="14.4" x14ac:dyDescent="0.25">
      <c r="A8" s="282" t="s">
        <v>126</v>
      </c>
      <c r="B8" s="193" t="s">
        <v>454</v>
      </c>
      <c r="C8" s="227">
        <v>0</v>
      </c>
      <c r="D8" s="197">
        <v>0</v>
      </c>
      <c r="E8" s="197">
        <v>0</v>
      </c>
      <c r="F8" s="197">
        <v>0</v>
      </c>
      <c r="G8" s="227"/>
    </row>
    <row r="9" spans="1:7" ht="14.4" x14ac:dyDescent="0.25">
      <c r="A9" s="282" t="s">
        <v>128</v>
      </c>
      <c r="B9" s="281" t="s">
        <v>174</v>
      </c>
      <c r="C9" s="227">
        <v>0</v>
      </c>
      <c r="D9" s="197">
        <v>0</v>
      </c>
      <c r="E9" s="197">
        <v>0</v>
      </c>
      <c r="F9" s="197">
        <v>0</v>
      </c>
      <c r="G9" s="227"/>
    </row>
    <row r="10" spans="1:7" ht="14.4" x14ac:dyDescent="0.25">
      <c r="A10" s="282" t="s">
        <v>129</v>
      </c>
      <c r="B10" s="281" t="s">
        <v>130</v>
      </c>
      <c r="C10" s="227">
        <v>2800000</v>
      </c>
      <c r="D10" s="197">
        <v>2800000</v>
      </c>
      <c r="E10" s="197">
        <v>2800000</v>
      </c>
      <c r="F10" s="197">
        <v>2800000</v>
      </c>
      <c r="G10" s="227"/>
    </row>
    <row r="11" spans="1:7" s="1" customFormat="1" ht="14.4" x14ac:dyDescent="0.25">
      <c r="A11" s="283" t="s">
        <v>124</v>
      </c>
      <c r="B11" s="284" t="s">
        <v>125</v>
      </c>
      <c r="C11" s="392">
        <f>SUM(C8:C10)</f>
        <v>2800000</v>
      </c>
      <c r="D11" s="392">
        <f>SUM(D8:D10)</f>
        <v>2800000</v>
      </c>
      <c r="E11" s="392">
        <f>SUM(E8:E10)</f>
        <v>2800000</v>
      </c>
      <c r="F11" s="392">
        <f>SUM(F8:F10)</f>
        <v>2800000</v>
      </c>
      <c r="G11" s="392"/>
    </row>
    <row r="12" spans="1:7" ht="14.4" x14ac:dyDescent="0.25">
      <c r="A12" s="282" t="s">
        <v>338</v>
      </c>
      <c r="B12" s="281" t="s">
        <v>339</v>
      </c>
      <c r="C12" s="227">
        <v>0</v>
      </c>
      <c r="D12" s="227">
        <v>2540</v>
      </c>
      <c r="E12" s="227">
        <v>2540</v>
      </c>
      <c r="F12" s="227">
        <v>2540</v>
      </c>
      <c r="G12" s="227"/>
    </row>
    <row r="13" spans="1:7" ht="14.4" x14ac:dyDescent="0.25">
      <c r="A13" s="282" t="s">
        <v>378</v>
      </c>
      <c r="B13" s="281" t="s">
        <v>379</v>
      </c>
      <c r="C13" s="391">
        <f>('9).Több éves kihat. döntések'!$C3)</f>
        <v>520000</v>
      </c>
      <c r="D13" s="196">
        <f>('9).Több éves kihat. döntések'!$C3)</f>
        <v>520000</v>
      </c>
      <c r="E13" s="196">
        <f>('9).Több éves kihat. döntések'!$C3)</f>
        <v>520000</v>
      </c>
      <c r="F13" s="196">
        <f>('9).Több éves kihat. döntések'!$C3)</f>
        <v>520000</v>
      </c>
      <c r="G13" s="391"/>
    </row>
    <row r="14" spans="1:7" ht="14.4" x14ac:dyDescent="0.25">
      <c r="A14" s="292" t="s">
        <v>340</v>
      </c>
      <c r="B14" s="281" t="s">
        <v>341</v>
      </c>
      <c r="C14" s="227">
        <v>0</v>
      </c>
      <c r="D14" s="227">
        <v>0</v>
      </c>
      <c r="E14" s="227">
        <v>0</v>
      </c>
      <c r="F14" s="227">
        <v>0</v>
      </c>
      <c r="G14" s="227"/>
    </row>
    <row r="15" spans="1:7" ht="14.4" x14ac:dyDescent="0.25">
      <c r="A15" s="490" t="s">
        <v>611</v>
      </c>
      <c r="B15" s="478" t="s">
        <v>596</v>
      </c>
      <c r="C15" s="227">
        <v>60000</v>
      </c>
      <c r="D15" s="197">
        <v>60000</v>
      </c>
      <c r="E15" s="197">
        <v>60000</v>
      </c>
      <c r="F15" s="197">
        <v>60000</v>
      </c>
      <c r="G15" s="227"/>
    </row>
    <row r="16" spans="1:7" ht="14.4" x14ac:dyDescent="0.25">
      <c r="A16" s="490" t="s">
        <v>612</v>
      </c>
      <c r="B16" s="478" t="s">
        <v>535</v>
      </c>
      <c r="C16" s="227">
        <v>0</v>
      </c>
      <c r="D16" s="197">
        <v>25000</v>
      </c>
      <c r="E16" s="197">
        <v>25000</v>
      </c>
      <c r="F16" s="197">
        <v>25000</v>
      </c>
      <c r="G16" s="227"/>
    </row>
    <row r="17" spans="1:7" ht="14.4" x14ac:dyDescent="0.25">
      <c r="A17" s="490" t="s">
        <v>613</v>
      </c>
      <c r="B17" s="478" t="s">
        <v>536</v>
      </c>
      <c r="C17" s="227">
        <v>0</v>
      </c>
      <c r="D17" s="197">
        <v>105000</v>
      </c>
      <c r="E17" s="197">
        <v>105000</v>
      </c>
      <c r="F17" s="197">
        <v>105000</v>
      </c>
      <c r="G17" s="227"/>
    </row>
    <row r="18" spans="1:7" ht="14.4" x14ac:dyDescent="0.25">
      <c r="A18" s="466" t="s">
        <v>573</v>
      </c>
      <c r="B18" s="478" t="s">
        <v>599</v>
      </c>
      <c r="C18" s="488">
        <f>('10).Adott támogatások'!$B13)</f>
        <v>3300000</v>
      </c>
      <c r="D18" s="489">
        <f>('10).Adott támogatások'!$C13)</f>
        <v>300000</v>
      </c>
      <c r="E18" s="489">
        <f>('10).Adott támogatások'!$D13)</f>
        <v>1025000</v>
      </c>
      <c r="F18" s="489">
        <f>('10).Adott támogatások'!$E13)</f>
        <v>1325000</v>
      </c>
      <c r="G18" s="488"/>
    </row>
    <row r="19" spans="1:7" ht="14.4" x14ac:dyDescent="0.25">
      <c r="A19" s="466" t="s">
        <v>364</v>
      </c>
      <c r="B19" s="478" t="s">
        <v>453</v>
      </c>
      <c r="C19" s="391">
        <f>SUM(C15:C18)</f>
        <v>3360000</v>
      </c>
      <c r="D19" s="196">
        <f t="shared" ref="D19" si="0">SUM(D15:D18)</f>
        <v>490000</v>
      </c>
      <c r="E19" s="196">
        <f>SUM(E15:E18)</f>
        <v>1215000</v>
      </c>
      <c r="F19" s="196">
        <f>SUM(F15:F18)</f>
        <v>1515000</v>
      </c>
      <c r="G19" s="391"/>
    </row>
    <row r="20" spans="1:7" ht="14.4" x14ac:dyDescent="0.25">
      <c r="A20" s="200" t="s">
        <v>365</v>
      </c>
      <c r="B20" s="201" t="s">
        <v>332</v>
      </c>
      <c r="C20" s="393">
        <v>69637249</v>
      </c>
      <c r="D20" s="202">
        <v>61256463</v>
      </c>
      <c r="E20" s="202">
        <v>73510419</v>
      </c>
      <c r="F20" s="202">
        <v>39459908</v>
      </c>
      <c r="G20" s="393">
        <f>'7). Ktg. vet. mérleg'!H17</f>
        <v>0.25</v>
      </c>
    </row>
    <row r="21" spans="1:7" s="1" customFormat="1" ht="14.4" x14ac:dyDescent="0.25">
      <c r="A21" s="283" t="s">
        <v>131</v>
      </c>
      <c r="B21" s="284" t="s">
        <v>132</v>
      </c>
      <c r="C21" s="392">
        <f>(C12+C13+C14+C19+C20)</f>
        <v>73517249</v>
      </c>
      <c r="D21" s="198">
        <f>(D12+D13+D14+D19+D20)</f>
        <v>62269003</v>
      </c>
      <c r="E21" s="198">
        <f>(E12+E13+E14+E19+E20)</f>
        <v>75247959</v>
      </c>
      <c r="F21" s="198">
        <f>(F12+F13+F14+F19+F20)</f>
        <v>41497448</v>
      </c>
      <c r="G21" s="392"/>
    </row>
    <row r="22" spans="1:7" ht="14.4" x14ac:dyDescent="0.25">
      <c r="A22" s="496" t="s">
        <v>618</v>
      </c>
      <c r="B22" s="495" t="s">
        <v>614</v>
      </c>
      <c r="C22" s="227">
        <v>540000</v>
      </c>
      <c r="D22" s="227">
        <v>540000</v>
      </c>
      <c r="E22" s="227">
        <v>0</v>
      </c>
      <c r="F22" s="227">
        <f>'1c).Beruházás felújítás'!H72-F44</f>
        <v>0</v>
      </c>
      <c r="G22" s="227"/>
    </row>
    <row r="23" spans="1:7" ht="14.4" x14ac:dyDescent="0.25">
      <c r="A23" s="496" t="s">
        <v>619</v>
      </c>
      <c r="B23" s="495" t="s">
        <v>615</v>
      </c>
      <c r="C23" s="227">
        <v>8717805</v>
      </c>
      <c r="D23" s="197">
        <v>7342350</v>
      </c>
      <c r="E23" s="197">
        <v>12189784</v>
      </c>
      <c r="F23" s="197">
        <f>'1c).Beruházás felújítás'!H73-F57-F70</f>
        <v>9848633.0708661415</v>
      </c>
      <c r="G23" s="227"/>
    </row>
    <row r="24" spans="1:7" ht="14.4" x14ac:dyDescent="0.25">
      <c r="A24" s="496" t="s">
        <v>620</v>
      </c>
      <c r="B24" s="495" t="s">
        <v>616</v>
      </c>
      <c r="C24" s="227">
        <v>2218807</v>
      </c>
      <c r="D24" s="227">
        <v>1847434</v>
      </c>
      <c r="E24" s="227">
        <v>1933020</v>
      </c>
      <c r="F24" s="227">
        <f>'1c).Beruházás felújítás'!H74</f>
        <v>3341150.9291338585</v>
      </c>
      <c r="G24" s="227"/>
    </row>
    <row r="25" spans="1:7" ht="14.4" x14ac:dyDescent="0.25">
      <c r="A25" s="185" t="s">
        <v>133</v>
      </c>
      <c r="B25" s="327" t="s">
        <v>39</v>
      </c>
      <c r="C25" s="391">
        <v>11476612</v>
      </c>
      <c r="D25" s="196">
        <v>9729784</v>
      </c>
      <c r="E25" s="196">
        <v>14122804</v>
      </c>
      <c r="F25" s="196">
        <f>('1c).Beruházás felújítás'!$H75)-F44-F57-F70</f>
        <v>13189784</v>
      </c>
      <c r="G25" s="391"/>
    </row>
    <row r="26" spans="1:7" ht="14.4" x14ac:dyDescent="0.25">
      <c r="A26" s="496" t="s">
        <v>621</v>
      </c>
      <c r="B26" s="495" t="s">
        <v>301</v>
      </c>
      <c r="C26" s="227">
        <v>119180947</v>
      </c>
      <c r="D26" s="227">
        <v>139850152</v>
      </c>
      <c r="E26" s="227">
        <v>125454006.17322837</v>
      </c>
      <c r="F26" s="227">
        <f>'1c).Beruházás felújítás'!H76</f>
        <v>122768507.74803151</v>
      </c>
      <c r="G26" s="227"/>
    </row>
    <row r="27" spans="1:7" ht="14.4" x14ac:dyDescent="0.25">
      <c r="A27" s="496" t="s">
        <v>622</v>
      </c>
      <c r="B27" s="495" t="s">
        <v>475</v>
      </c>
      <c r="C27" s="227">
        <v>32178866</v>
      </c>
      <c r="D27" s="197">
        <v>37759551</v>
      </c>
      <c r="E27" s="197">
        <v>33872591.826771647</v>
      </c>
      <c r="F27" s="197">
        <f>'1c).Beruházás felújítás'!H77</f>
        <v>33147507.251968496</v>
      </c>
      <c r="G27" s="227"/>
    </row>
    <row r="28" spans="1:7" ht="14.4" x14ac:dyDescent="0.25">
      <c r="A28" s="185" t="s">
        <v>134</v>
      </c>
      <c r="B28" s="327" t="s">
        <v>38</v>
      </c>
      <c r="C28" s="391">
        <v>151359814</v>
      </c>
      <c r="D28" s="196">
        <v>177609703</v>
      </c>
      <c r="E28" s="196">
        <v>159326598</v>
      </c>
      <c r="F28" s="196">
        <f>('1c).Beruházás felújítás'!$H78)</f>
        <v>155916015</v>
      </c>
      <c r="G28" s="391"/>
    </row>
    <row r="29" spans="1:7" ht="14.4" x14ac:dyDescent="0.25">
      <c r="A29" s="464" t="s">
        <v>571</v>
      </c>
      <c r="B29" s="465" t="s">
        <v>572</v>
      </c>
      <c r="C29" s="227">
        <v>0</v>
      </c>
      <c r="D29" s="227">
        <v>0</v>
      </c>
      <c r="E29" s="227">
        <v>52616</v>
      </c>
      <c r="F29" s="227">
        <v>52616</v>
      </c>
      <c r="G29" s="227"/>
    </row>
    <row r="30" spans="1:7" ht="14.4" x14ac:dyDescent="0.25">
      <c r="A30" s="282" t="s">
        <v>380</v>
      </c>
      <c r="B30" s="281" t="s">
        <v>381</v>
      </c>
      <c r="C30" s="227">
        <v>0</v>
      </c>
      <c r="D30" s="227">
        <v>0</v>
      </c>
      <c r="E30" s="227">
        <v>0</v>
      </c>
      <c r="F30" s="227">
        <v>0</v>
      </c>
      <c r="G30" s="227"/>
    </row>
    <row r="31" spans="1:7" s="1" customFormat="1" ht="14.4" x14ac:dyDescent="0.25">
      <c r="A31" s="283" t="s">
        <v>135</v>
      </c>
      <c r="B31" s="284" t="s">
        <v>136</v>
      </c>
      <c r="C31" s="392">
        <f>C30+C29</f>
        <v>0</v>
      </c>
      <c r="D31" s="392">
        <f t="shared" ref="D31" si="1">D30+D29</f>
        <v>0</v>
      </c>
      <c r="E31" s="392">
        <v>52616</v>
      </c>
      <c r="F31" s="392">
        <f t="shared" ref="F31" si="2">F30+F29</f>
        <v>52616</v>
      </c>
      <c r="G31" s="392"/>
    </row>
    <row r="32" spans="1:7" s="22" customFormat="1" ht="15.6" x14ac:dyDescent="0.3">
      <c r="A32" s="290" t="s">
        <v>324</v>
      </c>
      <c r="B32" s="291" t="s">
        <v>323</v>
      </c>
      <c r="C32" s="394">
        <f>(C5+C6+C7+C11+C21+C25+C28+C31)</f>
        <v>365109728</v>
      </c>
      <c r="D32" s="199">
        <f>(D5+D6+D7+D11+D21+D25+D28+D31)</f>
        <v>361808489</v>
      </c>
      <c r="E32" s="199">
        <f>(E5+E6+E7+E11+E21+E25+E28+E31)</f>
        <v>364056000</v>
      </c>
      <c r="F32" s="199">
        <f>(F5+F6+F7+F11+F21+F25+F28+F31)</f>
        <v>336061988.75</v>
      </c>
      <c r="G32" s="394"/>
    </row>
    <row r="33" spans="1:7" ht="14.4" x14ac:dyDescent="0.25">
      <c r="A33" s="496" t="s">
        <v>623</v>
      </c>
      <c r="B33" s="281" t="s">
        <v>322</v>
      </c>
      <c r="C33" s="391">
        <f>('2).Bevétel intézmény'!E39)</f>
        <v>6778442</v>
      </c>
      <c r="D33" s="196">
        <f>('2).Bevétel intézmény'!F39)</f>
        <v>6778442</v>
      </c>
      <c r="E33" s="196">
        <f>('2).Bevétel intézmény'!G39)</f>
        <v>6778442</v>
      </c>
      <c r="F33" s="196">
        <f>('2).Bevétel intézmény'!H39)</f>
        <v>6778442</v>
      </c>
      <c r="G33" s="391"/>
    </row>
    <row r="34" spans="1:7" ht="14.4" x14ac:dyDescent="0.25">
      <c r="A34" s="496" t="s">
        <v>624</v>
      </c>
      <c r="B34" s="281" t="s">
        <v>299</v>
      </c>
      <c r="C34" s="391">
        <f>('1).Bevételek összesen'!E36)</f>
        <v>159633951</v>
      </c>
      <c r="D34" s="196">
        <f>('1).Bevételek összesen'!F36)</f>
        <v>159633951</v>
      </c>
      <c r="E34" s="196">
        <f>('1).Bevételek összesen'!G36)</f>
        <v>161183328</v>
      </c>
      <c r="F34" s="196">
        <f>('1).Bevételek összesen'!H36)</f>
        <v>178104802</v>
      </c>
      <c r="G34" s="391"/>
    </row>
    <row r="35" spans="1:7" s="1" customFormat="1" ht="14.4" x14ac:dyDescent="0.25">
      <c r="A35" s="283" t="s">
        <v>137</v>
      </c>
      <c r="B35" s="284" t="s">
        <v>138</v>
      </c>
      <c r="C35" s="392">
        <f>SUM(C33:C34)</f>
        <v>166412393</v>
      </c>
      <c r="D35" s="392">
        <f>SUM(D33:D34)</f>
        <v>166412393</v>
      </c>
      <c r="E35" s="392">
        <f>SUM(E33:E34)</f>
        <v>167961770</v>
      </c>
      <c r="F35" s="392">
        <f>SUM(F33:F34)</f>
        <v>184883244</v>
      </c>
      <c r="G35" s="392"/>
    </row>
    <row r="36" spans="1:7" ht="14.25" customHeight="1" x14ac:dyDescent="0.25">
      <c r="A36" s="290" t="s">
        <v>325</v>
      </c>
      <c r="B36" s="291" t="s">
        <v>384</v>
      </c>
      <c r="C36" s="394">
        <f>C32+C35</f>
        <v>531522121</v>
      </c>
      <c r="D36" s="199">
        <f>D32+D35</f>
        <v>528220882</v>
      </c>
      <c r="E36" s="199">
        <f>E32+E35</f>
        <v>532017770</v>
      </c>
      <c r="F36" s="199">
        <f>F32+F35</f>
        <v>520945232.75</v>
      </c>
      <c r="G36" s="394"/>
    </row>
    <row r="37" spans="1:7" x14ac:dyDescent="0.25">
      <c r="B37" s="23"/>
      <c r="C37" s="1"/>
      <c r="E37" s="395"/>
    </row>
    <row r="38" spans="1:7" s="192" customFormat="1" ht="31.8" thickBot="1" x14ac:dyDescent="0.3">
      <c r="A38" s="630" t="s">
        <v>482</v>
      </c>
      <c r="B38" s="631"/>
      <c r="C38" s="376" t="s">
        <v>483</v>
      </c>
      <c r="D38" s="194" t="s">
        <v>464</v>
      </c>
      <c r="E38" s="194" t="s">
        <v>443</v>
      </c>
      <c r="F38" s="194" t="s">
        <v>444</v>
      </c>
      <c r="G38" s="194" t="s">
        <v>445</v>
      </c>
    </row>
    <row r="39" spans="1:7" ht="14.4" x14ac:dyDescent="0.25">
      <c r="A39" s="293" t="s">
        <v>121</v>
      </c>
      <c r="B39" s="294" t="s">
        <v>36</v>
      </c>
      <c r="C39" s="390">
        <v>44882400</v>
      </c>
      <c r="D39" s="195">
        <f>'3a).Személyi jutt intézmény'!D40</f>
        <v>43882400</v>
      </c>
      <c r="E39" s="195">
        <f>'3a).Személyi jutt intézmény'!E40</f>
        <v>44352400</v>
      </c>
      <c r="F39" s="195">
        <f>'3a).Személyi jutt intézmény'!F40</f>
        <v>52069474</v>
      </c>
      <c r="G39" s="390"/>
    </row>
    <row r="40" spans="1:7" ht="14.4" x14ac:dyDescent="0.25">
      <c r="A40" s="282" t="s">
        <v>120</v>
      </c>
      <c r="B40" s="281" t="s">
        <v>122</v>
      </c>
      <c r="C40" s="391">
        <v>7140432</v>
      </c>
      <c r="D40" s="196">
        <f>'3a).Személyi jutt intézmény'!D44</f>
        <v>7000000</v>
      </c>
      <c r="E40" s="196">
        <f>'3a).Személyi jutt intézmény'!E44</f>
        <v>7000000</v>
      </c>
      <c r="F40" s="196">
        <f>'3a).Személyi jutt intézmény'!F44</f>
        <v>9009772</v>
      </c>
      <c r="G40" s="391"/>
    </row>
    <row r="41" spans="1:7" ht="14.4" x14ac:dyDescent="0.25">
      <c r="A41" s="282" t="s">
        <v>123</v>
      </c>
      <c r="B41" s="281" t="s">
        <v>37</v>
      </c>
      <c r="C41" s="391">
        <v>26505000</v>
      </c>
      <c r="D41" s="196">
        <f>'3b).Dologi kiad intézmény'!D49</f>
        <v>26922432</v>
      </c>
      <c r="E41" s="196">
        <f>'3b).Dologi kiad intézmény'!E49</f>
        <v>25130000</v>
      </c>
      <c r="F41" s="196">
        <f>'3b).Dologi kiad intézmény'!F49</f>
        <v>26610000</v>
      </c>
      <c r="G41" s="391"/>
    </row>
    <row r="42" spans="1:7" ht="13.5" customHeight="1" x14ac:dyDescent="0.25">
      <c r="A42" s="282" t="s">
        <v>124</v>
      </c>
      <c r="B42" s="281" t="s">
        <v>125</v>
      </c>
      <c r="C42" s="227"/>
      <c r="D42" s="197"/>
      <c r="E42" s="197"/>
      <c r="F42" s="197"/>
      <c r="G42" s="227"/>
    </row>
    <row r="43" spans="1:7" ht="14.4" x14ac:dyDescent="0.25">
      <c r="A43" s="282" t="s">
        <v>131</v>
      </c>
      <c r="B43" s="281" t="s">
        <v>132</v>
      </c>
      <c r="C43" s="227"/>
      <c r="D43" s="197"/>
      <c r="E43" s="197"/>
      <c r="F43" s="197"/>
      <c r="G43" s="227"/>
    </row>
    <row r="44" spans="1:7" ht="14.4" x14ac:dyDescent="0.25">
      <c r="A44" s="282" t="s">
        <v>133</v>
      </c>
      <c r="B44" s="281" t="s">
        <v>39</v>
      </c>
      <c r="C44" s="227">
        <v>540000</v>
      </c>
      <c r="D44" s="197">
        <v>540000</v>
      </c>
      <c r="E44" s="197">
        <v>320000</v>
      </c>
      <c r="F44" s="197">
        <v>320000</v>
      </c>
      <c r="G44" s="227"/>
    </row>
    <row r="45" spans="1:7" ht="14.4" x14ac:dyDescent="0.25">
      <c r="A45" s="282" t="s">
        <v>134</v>
      </c>
      <c r="B45" s="281" t="s">
        <v>38</v>
      </c>
      <c r="C45" s="227"/>
      <c r="D45" s="197"/>
      <c r="E45" s="197"/>
      <c r="F45" s="197"/>
      <c r="G45" s="227"/>
    </row>
    <row r="46" spans="1:7" ht="14.4" x14ac:dyDescent="0.25">
      <c r="A46" s="282" t="s">
        <v>135</v>
      </c>
      <c r="B46" s="281" t="s">
        <v>136</v>
      </c>
      <c r="C46" s="227"/>
      <c r="D46" s="197"/>
      <c r="E46" s="197"/>
      <c r="F46" s="197"/>
      <c r="G46" s="227"/>
    </row>
    <row r="47" spans="1:7" ht="14.4" x14ac:dyDescent="0.25">
      <c r="A47" s="282" t="s">
        <v>137</v>
      </c>
      <c r="B47" s="281" t="s">
        <v>138</v>
      </c>
      <c r="C47" s="227"/>
      <c r="D47" s="197"/>
      <c r="E47" s="197"/>
      <c r="F47" s="197"/>
      <c r="G47" s="227"/>
    </row>
    <row r="48" spans="1:7" ht="14.4" x14ac:dyDescent="0.25">
      <c r="A48" s="642" t="s">
        <v>40</v>
      </c>
      <c r="B48" s="643"/>
      <c r="C48" s="392">
        <f>SUM(C39:C47)</f>
        <v>79067832</v>
      </c>
      <c r="D48" s="392">
        <f t="shared" ref="D48" si="3">SUM(D39:D47)</f>
        <v>78344832</v>
      </c>
      <c r="E48" s="392">
        <f>SUM(E39:E47)</f>
        <v>76802400</v>
      </c>
      <c r="F48" s="392">
        <f>SUM(F39:F47)</f>
        <v>88009246</v>
      </c>
      <c r="G48" s="392"/>
    </row>
    <row r="49" spans="1:7" ht="14.4" x14ac:dyDescent="0.25">
      <c r="A49" s="642" t="s">
        <v>533</v>
      </c>
      <c r="B49" s="643"/>
      <c r="C49" s="392">
        <f>'2).Bevétel intézmény'!E55</f>
        <v>79067832</v>
      </c>
      <c r="D49" s="392">
        <f>'2).Bevétel intézmény'!F55</f>
        <v>78344832</v>
      </c>
      <c r="E49" s="392">
        <f>'2).Bevétel intézmény'!G55</f>
        <v>76802400</v>
      </c>
      <c r="F49" s="392">
        <f>'2).Bevétel intézmény'!H55</f>
        <v>88009246</v>
      </c>
      <c r="G49" s="392"/>
    </row>
    <row r="50" spans="1:7" x14ac:dyDescent="0.25">
      <c r="D50" s="16">
        <f>D48-D49</f>
        <v>0</v>
      </c>
      <c r="E50" s="16">
        <f>E48-E49</f>
        <v>0</v>
      </c>
      <c r="F50" s="16">
        <f>F48-F49</f>
        <v>0</v>
      </c>
    </row>
    <row r="51" spans="1:7" s="192" customFormat="1" ht="31.8" thickBot="1" x14ac:dyDescent="0.3">
      <c r="A51" s="632" t="s">
        <v>398</v>
      </c>
      <c r="B51" s="633"/>
      <c r="C51" s="376" t="s">
        <v>483</v>
      </c>
      <c r="D51" s="194" t="s">
        <v>464</v>
      </c>
      <c r="E51" s="194" t="s">
        <v>443</v>
      </c>
      <c r="F51" s="194" t="s">
        <v>444</v>
      </c>
      <c r="G51" s="194" t="s">
        <v>445</v>
      </c>
    </row>
    <row r="52" spans="1:7" ht="14.4" x14ac:dyDescent="0.25">
      <c r="A52" s="293" t="s">
        <v>121</v>
      </c>
      <c r="B52" s="294" t="s">
        <v>36</v>
      </c>
      <c r="C52" s="390">
        <v>23832268</v>
      </c>
      <c r="D52" s="195">
        <f>'3a).Személyi jutt intézmény'!D58</f>
        <v>23812268</v>
      </c>
      <c r="E52" s="195">
        <f>'3a).Személyi jutt intézmény'!E58</f>
        <v>24983029</v>
      </c>
      <c r="F52" s="195">
        <f>'3a).Személyi jutt intézmény'!F58</f>
        <v>26880083</v>
      </c>
      <c r="G52" s="390"/>
    </row>
    <row r="53" spans="1:7" ht="14.4" x14ac:dyDescent="0.25">
      <c r="A53" s="282" t="s">
        <v>120</v>
      </c>
      <c r="B53" s="281" t="s">
        <v>122</v>
      </c>
      <c r="C53" s="391">
        <v>4100664</v>
      </c>
      <c r="D53" s="196">
        <f>'3a).Személyi jutt intézmény'!D62</f>
        <v>3900000</v>
      </c>
      <c r="E53" s="196">
        <f>'3a).Személyi jutt intézmény'!E62</f>
        <v>4012000</v>
      </c>
      <c r="F53" s="196">
        <f>'3a).Személyi jutt intézmény'!F62</f>
        <v>4583035</v>
      </c>
      <c r="G53" s="391"/>
    </row>
    <row r="54" spans="1:7" ht="14.4" x14ac:dyDescent="0.25">
      <c r="A54" s="282" t="s">
        <v>123</v>
      </c>
      <c r="B54" s="281" t="s">
        <v>37</v>
      </c>
      <c r="C54" s="391">
        <v>2735000</v>
      </c>
      <c r="D54" s="196">
        <f>'3b).Dologi kiad intézmény'!D72</f>
        <v>3055000</v>
      </c>
      <c r="E54" s="196">
        <f>'3b).Dologi kiad intézmény'!E72</f>
        <v>3055000</v>
      </c>
      <c r="F54" s="196">
        <f>'3b).Dologi kiad intézmény'!F72</f>
        <v>3175000</v>
      </c>
      <c r="G54" s="391"/>
    </row>
    <row r="55" spans="1:7" ht="14.4" x14ac:dyDescent="0.25">
      <c r="A55" s="282" t="s">
        <v>124</v>
      </c>
      <c r="B55" s="281" t="s">
        <v>125</v>
      </c>
      <c r="C55" s="227"/>
      <c r="D55" s="197"/>
      <c r="E55" s="197"/>
      <c r="F55" s="197"/>
      <c r="G55" s="227"/>
    </row>
    <row r="56" spans="1:7" ht="14.4" x14ac:dyDescent="0.25">
      <c r="A56" s="282" t="s">
        <v>131</v>
      </c>
      <c r="B56" s="281" t="s">
        <v>132</v>
      </c>
      <c r="C56" s="227"/>
      <c r="D56" s="197"/>
      <c r="E56" s="197"/>
      <c r="F56" s="197"/>
      <c r="G56" s="227"/>
    </row>
    <row r="57" spans="1:7" ht="14.4" x14ac:dyDescent="0.25">
      <c r="A57" s="282" t="s">
        <v>133</v>
      </c>
      <c r="B57" s="281" t="s">
        <v>39</v>
      </c>
      <c r="C57" s="227">
        <v>0</v>
      </c>
      <c r="D57" s="197">
        <v>0</v>
      </c>
      <c r="E57" s="197">
        <v>26000</v>
      </c>
      <c r="F57" s="197">
        <v>26000</v>
      </c>
      <c r="G57" s="227"/>
    </row>
    <row r="58" spans="1:7" ht="14.4" x14ac:dyDescent="0.25">
      <c r="A58" s="282" t="s">
        <v>134</v>
      </c>
      <c r="B58" s="281" t="s">
        <v>38</v>
      </c>
      <c r="C58" s="227"/>
      <c r="D58" s="197"/>
      <c r="E58" s="197"/>
      <c r="F58" s="197"/>
      <c r="G58" s="227"/>
    </row>
    <row r="59" spans="1:7" ht="14.4" x14ac:dyDescent="0.25">
      <c r="A59" s="282" t="s">
        <v>135</v>
      </c>
      <c r="B59" s="281" t="s">
        <v>136</v>
      </c>
      <c r="C59" s="227"/>
      <c r="D59" s="197"/>
      <c r="E59" s="197"/>
      <c r="F59" s="197"/>
      <c r="G59" s="227"/>
    </row>
    <row r="60" spans="1:7" ht="14.4" x14ac:dyDescent="0.25">
      <c r="A60" s="282" t="s">
        <v>137</v>
      </c>
      <c r="B60" s="281" t="s">
        <v>138</v>
      </c>
      <c r="C60" s="227"/>
      <c r="D60" s="197"/>
      <c r="E60" s="197"/>
      <c r="F60" s="197"/>
      <c r="G60" s="227"/>
    </row>
    <row r="61" spans="1:7" ht="14.4" x14ac:dyDescent="0.25">
      <c r="A61" s="642" t="s">
        <v>40</v>
      </c>
      <c r="B61" s="643"/>
      <c r="C61" s="392">
        <f>SUM(C52:C60)</f>
        <v>30667932</v>
      </c>
      <c r="D61" s="392">
        <f t="shared" ref="D61:E61" si="4">SUM(D52:D60)</f>
        <v>30767268</v>
      </c>
      <c r="E61" s="392">
        <f t="shared" si="4"/>
        <v>32076029</v>
      </c>
      <c r="F61" s="392">
        <f t="shared" ref="F61" si="5">SUM(F52:F60)</f>
        <v>34664118</v>
      </c>
      <c r="G61" s="392"/>
    </row>
    <row r="62" spans="1:7" ht="14.4" x14ac:dyDescent="0.25">
      <c r="A62" s="642" t="s">
        <v>532</v>
      </c>
      <c r="B62" s="643"/>
      <c r="C62" s="392">
        <f>'2).Bevétel intézmény'!E69</f>
        <v>30667932</v>
      </c>
      <c r="D62" s="392">
        <f>'2).Bevétel intézmény'!F69</f>
        <v>30767268</v>
      </c>
      <c r="E62" s="392">
        <f>'2).Bevétel intézmény'!G69</f>
        <v>32076029</v>
      </c>
      <c r="F62" s="392">
        <f>'2).Bevétel intézmény'!H69</f>
        <v>34664118</v>
      </c>
      <c r="G62" s="392"/>
    </row>
    <row r="63" spans="1:7" x14ac:dyDescent="0.25">
      <c r="D63" s="16"/>
      <c r="E63" s="16">
        <f>E61-E62</f>
        <v>0</v>
      </c>
      <c r="F63" s="16">
        <f>F61-F62</f>
        <v>0</v>
      </c>
    </row>
    <row r="64" spans="1:7" s="192" customFormat="1" ht="31.8" thickBot="1" x14ac:dyDescent="0.3">
      <c r="A64" s="623" t="s">
        <v>394</v>
      </c>
      <c r="B64" s="624"/>
      <c r="C64" s="376" t="s">
        <v>483</v>
      </c>
      <c r="D64" s="194" t="s">
        <v>464</v>
      </c>
      <c r="E64" s="194" t="s">
        <v>443</v>
      </c>
      <c r="F64" s="194" t="s">
        <v>444</v>
      </c>
      <c r="G64" s="194" t="s">
        <v>445</v>
      </c>
    </row>
    <row r="65" spans="1:7" ht="14.4" x14ac:dyDescent="0.25">
      <c r="A65" s="293" t="s">
        <v>121</v>
      </c>
      <c r="B65" s="294" t="s">
        <v>36</v>
      </c>
      <c r="C65" s="390">
        <v>49607960</v>
      </c>
      <c r="D65" s="195">
        <f>'3a).Személyi jutt intézmény'!D76</f>
        <v>49608624</v>
      </c>
      <c r="E65" s="195">
        <f>'3a).Személyi jutt intézmény'!E76</f>
        <v>51294174</v>
      </c>
      <c r="F65" s="195">
        <f>'3a).Személyi jutt intézmény'!F76</f>
        <v>52598618</v>
      </c>
      <c r="G65" s="390"/>
    </row>
    <row r="66" spans="1:7" ht="14.4" x14ac:dyDescent="0.25">
      <c r="A66" s="282" t="s">
        <v>120</v>
      </c>
      <c r="B66" s="281" t="s">
        <v>122</v>
      </c>
      <c r="C66" s="391">
        <v>8500000</v>
      </c>
      <c r="D66" s="196">
        <f>'3a).Személyi jutt intézmény'!D80</f>
        <v>8100000</v>
      </c>
      <c r="E66" s="196">
        <f>'3a).Személyi jutt intézmény'!E80</f>
        <v>8250000</v>
      </c>
      <c r="F66" s="196">
        <f>'3a).Személyi jutt intézmény'!F80</f>
        <v>8703015</v>
      </c>
      <c r="G66" s="391"/>
    </row>
    <row r="67" spans="1:7" ht="14.4" x14ac:dyDescent="0.25">
      <c r="A67" s="282" t="s">
        <v>123</v>
      </c>
      <c r="B67" s="281" t="s">
        <v>37</v>
      </c>
      <c r="C67" s="391">
        <v>4465000</v>
      </c>
      <c r="D67" s="196">
        <f>'3b).Dologi kiad intézmény'!D95</f>
        <v>4465000</v>
      </c>
      <c r="E67" s="196">
        <f>'3b).Dologi kiad intézmény'!E95</f>
        <v>4415000</v>
      </c>
      <c r="F67" s="196">
        <f>'3b).Dologi kiad intézmény'!F95</f>
        <v>5340000</v>
      </c>
      <c r="G67" s="391"/>
    </row>
    <row r="68" spans="1:7" ht="14.4" x14ac:dyDescent="0.25">
      <c r="A68" s="282" t="s">
        <v>124</v>
      </c>
      <c r="B68" s="281" t="s">
        <v>125</v>
      </c>
      <c r="C68" s="227"/>
      <c r="D68" s="197"/>
      <c r="E68" s="197"/>
      <c r="F68" s="197"/>
      <c r="G68" s="227"/>
    </row>
    <row r="69" spans="1:7" ht="14.4" x14ac:dyDescent="0.25">
      <c r="A69" s="282" t="s">
        <v>131</v>
      </c>
      <c r="B69" s="281" t="s">
        <v>132</v>
      </c>
      <c r="C69" s="227"/>
      <c r="D69" s="197"/>
      <c r="E69" s="197"/>
      <c r="F69" s="197"/>
      <c r="G69" s="227"/>
    </row>
    <row r="70" spans="1:7" ht="14.4" x14ac:dyDescent="0.25">
      <c r="A70" s="282" t="s">
        <v>133</v>
      </c>
      <c r="B70" s="281" t="s">
        <v>39</v>
      </c>
      <c r="C70" s="227">
        <v>500000</v>
      </c>
      <c r="D70" s="197">
        <v>500000</v>
      </c>
      <c r="E70" s="197">
        <v>500000</v>
      </c>
      <c r="F70" s="197">
        <v>2500000</v>
      </c>
      <c r="G70" s="227"/>
    </row>
    <row r="71" spans="1:7" ht="14.4" x14ac:dyDescent="0.25">
      <c r="A71" s="282" t="s">
        <v>134</v>
      </c>
      <c r="B71" s="281" t="s">
        <v>38</v>
      </c>
      <c r="C71" s="227"/>
      <c r="D71" s="197"/>
      <c r="E71" s="197"/>
      <c r="F71" s="197"/>
      <c r="G71" s="227"/>
    </row>
    <row r="72" spans="1:7" ht="14.4" x14ac:dyDescent="0.25">
      <c r="A72" s="282" t="s">
        <v>135</v>
      </c>
      <c r="B72" s="281" t="s">
        <v>136</v>
      </c>
      <c r="C72" s="227"/>
      <c r="D72" s="197"/>
      <c r="E72" s="197"/>
      <c r="F72" s="197"/>
      <c r="G72" s="227"/>
    </row>
    <row r="73" spans="1:7" ht="14.4" x14ac:dyDescent="0.25">
      <c r="A73" s="282" t="s">
        <v>137</v>
      </c>
      <c r="B73" s="281" t="s">
        <v>138</v>
      </c>
      <c r="C73" s="227"/>
      <c r="D73" s="197"/>
      <c r="E73" s="197"/>
      <c r="F73" s="197"/>
      <c r="G73" s="227"/>
    </row>
    <row r="74" spans="1:7" ht="14.4" x14ac:dyDescent="0.25">
      <c r="A74" s="642" t="s">
        <v>40</v>
      </c>
      <c r="B74" s="643"/>
      <c r="C74" s="392">
        <f>SUM(C65:C73)</f>
        <v>63072960</v>
      </c>
      <c r="D74" s="392">
        <f t="shared" ref="D74:E74" si="6">SUM(D65:D73)</f>
        <v>62673624</v>
      </c>
      <c r="E74" s="392">
        <f t="shared" si="6"/>
        <v>64459174</v>
      </c>
      <c r="F74" s="392">
        <f t="shared" ref="F74" si="7">SUM(F65:F73)</f>
        <v>69141633</v>
      </c>
      <c r="G74" s="392"/>
    </row>
    <row r="75" spans="1:7" ht="14.4" x14ac:dyDescent="0.25">
      <c r="A75" s="642" t="s">
        <v>532</v>
      </c>
      <c r="B75" s="643"/>
      <c r="C75" s="392">
        <f>'2).Bevétel intézmény'!E83</f>
        <v>63072960</v>
      </c>
      <c r="D75" s="392">
        <f>'2).Bevétel intézmény'!F83</f>
        <v>62673624</v>
      </c>
      <c r="E75" s="392">
        <f>'2).Bevétel intézmény'!G83</f>
        <v>64459174</v>
      </c>
      <c r="F75" s="392">
        <f>'2).Bevétel intézmény'!H83</f>
        <v>68685711</v>
      </c>
      <c r="G75" s="392"/>
    </row>
    <row r="76" spans="1:7" x14ac:dyDescent="0.25">
      <c r="D76" s="16"/>
      <c r="E76" s="16"/>
      <c r="F76" s="16">
        <f>F74-F75</f>
        <v>455922</v>
      </c>
    </row>
  </sheetData>
  <mergeCells count="12">
    <mergeCell ref="A75:B75"/>
    <mergeCell ref="A1:G1"/>
    <mergeCell ref="A2:G2"/>
    <mergeCell ref="A48:B48"/>
    <mergeCell ref="A61:B61"/>
    <mergeCell ref="A74:B74"/>
    <mergeCell ref="A64:B64"/>
    <mergeCell ref="A4:B4"/>
    <mergeCell ref="A38:B38"/>
    <mergeCell ref="A51:B51"/>
    <mergeCell ref="A62:B62"/>
    <mergeCell ref="A49:B49"/>
  </mergeCells>
  <phoneticPr fontId="38" type="noConversion"/>
  <printOptions horizontalCentered="1" verticalCentered="1"/>
  <pageMargins left="0.23622047244094491" right="0.23622047244094491" top="0.39370078740157483" bottom="0.39370078740157483" header="0.31496062992125984" footer="0.31496062992125984"/>
  <pageSetup paperSize="9" scale="72" orientation="portrait" r:id="rId1"/>
  <headerFooter>
    <oddHeader>&amp;R4. sz. melléklet
Ft-ban</oddHeader>
  </headerFooter>
  <ignoredErrors>
    <ignoredError sqref="C11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Munka17">
    <pageSetUpPr fitToPage="1"/>
  </sheetPr>
  <dimension ref="A1:M71"/>
  <sheetViews>
    <sheetView topLeftCell="A52" zoomScaleNormal="100" zoomScalePageLayoutView="90" workbookViewId="0">
      <selection activeCell="J77" sqref="J77"/>
    </sheetView>
  </sheetViews>
  <sheetFormatPr defaultColWidth="9.109375" defaultRowHeight="13.2" x14ac:dyDescent="0.25"/>
  <cols>
    <col min="1" max="1" width="8.109375" style="5" customWidth="1"/>
    <col min="2" max="2" width="34.33203125" style="4" customWidth="1"/>
    <col min="3" max="3" width="8.44140625" style="4" customWidth="1"/>
    <col min="4" max="5" width="12.88671875" style="4" bestFit="1" customWidth="1"/>
    <col min="6" max="6" width="11.88671875" style="4" bestFit="1" customWidth="1"/>
    <col min="7" max="7" width="14.44140625" style="4" bestFit="1" customWidth="1"/>
    <col min="8" max="8" width="12.88671875" style="4" bestFit="1" customWidth="1"/>
    <col min="9" max="9" width="9.109375" style="4"/>
    <col min="10" max="13" width="12.33203125" style="4" bestFit="1" customWidth="1"/>
    <col min="14" max="16384" width="9.109375" style="4"/>
  </cols>
  <sheetData>
    <row r="1" spans="1:13" ht="18" x14ac:dyDescent="0.25">
      <c r="A1" s="499" t="s">
        <v>508</v>
      </c>
      <c r="B1" s="499"/>
      <c r="C1" s="499"/>
      <c r="D1" s="499"/>
      <c r="E1" s="499"/>
      <c r="F1" s="499"/>
      <c r="G1" s="499"/>
      <c r="H1" s="499"/>
    </row>
    <row r="2" spans="1:13" ht="18" x14ac:dyDescent="0.25">
      <c r="A2" s="529" t="s">
        <v>81</v>
      </c>
      <c r="B2" s="529"/>
      <c r="C2" s="529"/>
      <c r="D2" s="529"/>
      <c r="E2" s="529"/>
      <c r="F2" s="529"/>
      <c r="G2" s="529"/>
      <c r="H2" s="529"/>
    </row>
    <row r="3" spans="1:13" ht="43.2" x14ac:dyDescent="0.25">
      <c r="A3" s="324" t="s">
        <v>427</v>
      </c>
      <c r="B3" s="296" t="s">
        <v>54</v>
      </c>
      <c r="C3" s="296" t="s">
        <v>428</v>
      </c>
      <c r="D3" s="296" t="s">
        <v>36</v>
      </c>
      <c r="E3" s="296" t="s">
        <v>513</v>
      </c>
      <c r="F3" s="296" t="s">
        <v>37</v>
      </c>
      <c r="G3" s="296" t="s">
        <v>429</v>
      </c>
      <c r="H3" s="296" t="s">
        <v>82</v>
      </c>
    </row>
    <row r="4" spans="1:13" ht="18" x14ac:dyDescent="0.25">
      <c r="A4" s="612" t="s">
        <v>83</v>
      </c>
      <c r="B4" s="613"/>
      <c r="C4" s="613"/>
      <c r="D4" s="613"/>
      <c r="E4" s="613"/>
      <c r="F4" s="613"/>
      <c r="G4" s="613"/>
      <c r="H4" s="614"/>
    </row>
    <row r="5" spans="1:13" ht="18" x14ac:dyDescent="0.25">
      <c r="A5" s="615" t="s">
        <v>481</v>
      </c>
      <c r="B5" s="616"/>
      <c r="C5" s="616"/>
      <c r="D5" s="616"/>
      <c r="E5" s="616"/>
      <c r="F5" s="616"/>
      <c r="G5" s="616"/>
      <c r="H5" s="617"/>
    </row>
    <row r="6" spans="1:13" s="5" customFormat="1" ht="14.4" x14ac:dyDescent="0.25">
      <c r="A6" s="324"/>
      <c r="B6" s="665" t="s">
        <v>84</v>
      </c>
      <c r="C6" s="666"/>
      <c r="D6" s="666"/>
      <c r="E6" s="666"/>
      <c r="F6" s="666"/>
      <c r="G6" s="666"/>
      <c r="H6" s="667"/>
    </row>
    <row r="7" spans="1:13" ht="14.4" x14ac:dyDescent="0.25">
      <c r="A7" s="324" t="s">
        <v>7</v>
      </c>
      <c r="B7" s="282" t="s">
        <v>98</v>
      </c>
      <c r="C7" s="328">
        <v>1</v>
      </c>
      <c r="D7" s="325">
        <v>11212800</v>
      </c>
      <c r="E7" s="325">
        <v>2850112</v>
      </c>
      <c r="F7" s="325"/>
      <c r="G7" s="325"/>
      <c r="H7" s="62">
        <f>SUM(D7:G7)</f>
        <v>14062912</v>
      </c>
    </row>
    <row r="8" spans="1:13" ht="14.4" x14ac:dyDescent="0.25">
      <c r="A8" s="349" t="s">
        <v>8</v>
      </c>
      <c r="B8" s="282" t="s">
        <v>177</v>
      </c>
      <c r="C8" s="328">
        <v>33</v>
      </c>
      <c r="D8" s="325">
        <v>14399211</v>
      </c>
      <c r="E8" s="325">
        <v>2728533</v>
      </c>
      <c r="F8" s="325">
        <v>12501491</v>
      </c>
      <c r="G8" s="325"/>
      <c r="H8" s="62">
        <f t="shared" ref="H8:H19" si="0">SUM(D8:G8)</f>
        <v>29629235</v>
      </c>
      <c r="J8" s="11"/>
    </row>
    <row r="9" spans="1:13" ht="14.4" x14ac:dyDescent="0.25">
      <c r="A9" s="349" t="s">
        <v>10</v>
      </c>
      <c r="B9" s="282" t="s">
        <v>295</v>
      </c>
      <c r="C9" s="328"/>
      <c r="D9" s="325"/>
      <c r="E9" s="325"/>
      <c r="F9" s="325">
        <v>2148509</v>
      </c>
      <c r="G9" s="325"/>
      <c r="H9" s="62">
        <f t="shared" si="0"/>
        <v>2148509</v>
      </c>
      <c r="J9" s="11"/>
    </row>
    <row r="10" spans="1:13" ht="14.4" x14ac:dyDescent="0.25">
      <c r="A10" s="349" t="s">
        <v>297</v>
      </c>
      <c r="B10" s="282" t="s">
        <v>345</v>
      </c>
      <c r="C10" s="328"/>
      <c r="D10" s="325"/>
      <c r="E10" s="325"/>
      <c r="F10" s="325">
        <v>4000000</v>
      </c>
      <c r="G10" s="325"/>
      <c r="H10" s="62">
        <f t="shared" si="0"/>
        <v>4000000</v>
      </c>
      <c r="J10" s="11"/>
      <c r="K10" s="70"/>
      <c r="L10" s="70"/>
    </row>
    <row r="11" spans="1:13" ht="14.4" x14ac:dyDescent="0.25">
      <c r="A11" s="349" t="s">
        <v>12</v>
      </c>
      <c r="B11" s="69" t="s">
        <v>417</v>
      </c>
      <c r="C11" s="328"/>
      <c r="D11" s="325"/>
      <c r="E11" s="325"/>
      <c r="F11" s="325">
        <v>3500000</v>
      </c>
      <c r="G11" s="325"/>
      <c r="H11" s="62">
        <f t="shared" si="0"/>
        <v>3500000</v>
      </c>
      <c r="M11" s="70"/>
    </row>
    <row r="12" spans="1:13" ht="14.4" x14ac:dyDescent="0.25">
      <c r="A12" s="349" t="s">
        <v>13</v>
      </c>
      <c r="B12" s="282" t="s">
        <v>85</v>
      </c>
      <c r="C12" s="328"/>
      <c r="D12" s="325"/>
      <c r="E12" s="325"/>
      <c r="F12" s="325">
        <v>5700000</v>
      </c>
      <c r="G12" s="325"/>
      <c r="H12" s="62">
        <f t="shared" si="0"/>
        <v>5700000</v>
      </c>
    </row>
    <row r="13" spans="1:13" ht="14.4" x14ac:dyDescent="0.25">
      <c r="A13" s="349" t="s">
        <v>14</v>
      </c>
      <c r="B13" s="282" t="s">
        <v>99</v>
      </c>
      <c r="C13" s="328"/>
      <c r="D13" s="325"/>
      <c r="E13" s="325"/>
      <c r="F13" s="325">
        <v>3300000</v>
      </c>
      <c r="G13" s="325"/>
      <c r="H13" s="62">
        <f t="shared" si="0"/>
        <v>3300000</v>
      </c>
    </row>
    <row r="14" spans="1:13" ht="14.4" x14ac:dyDescent="0.25">
      <c r="A14" s="349" t="s">
        <v>15</v>
      </c>
      <c r="B14" s="282" t="s">
        <v>87</v>
      </c>
      <c r="C14" s="328">
        <v>3</v>
      </c>
      <c r="D14" s="325">
        <v>3776689</v>
      </c>
      <c r="E14" s="325">
        <v>585387</v>
      </c>
      <c r="F14" s="325">
        <v>3500000</v>
      </c>
      <c r="G14" s="325"/>
      <c r="H14" s="62">
        <f t="shared" si="0"/>
        <v>7862076</v>
      </c>
    </row>
    <row r="15" spans="1:13" ht="14.4" x14ac:dyDescent="0.25">
      <c r="A15" s="349" t="s">
        <v>16</v>
      </c>
      <c r="B15" s="282" t="s">
        <v>176</v>
      </c>
      <c r="C15" s="328" t="s">
        <v>549</v>
      </c>
      <c r="D15" s="325">
        <v>971288</v>
      </c>
      <c r="E15" s="325">
        <v>174660</v>
      </c>
      <c r="F15" s="325">
        <v>50000</v>
      </c>
      <c r="G15" s="325"/>
      <c r="H15" s="62">
        <f t="shared" si="0"/>
        <v>1195948</v>
      </c>
      <c r="J15" s="70"/>
    </row>
    <row r="16" spans="1:13" ht="14.4" x14ac:dyDescent="0.25">
      <c r="A16" s="349" t="s">
        <v>17</v>
      </c>
      <c r="B16" s="282" t="s">
        <v>88</v>
      </c>
      <c r="C16" s="328"/>
      <c r="D16" s="325"/>
      <c r="E16" s="325"/>
      <c r="F16" s="325">
        <v>1000000</v>
      </c>
      <c r="G16" s="325"/>
      <c r="H16" s="62">
        <f t="shared" si="0"/>
        <v>1000000</v>
      </c>
    </row>
    <row r="17" spans="1:12" ht="14.4" x14ac:dyDescent="0.25">
      <c r="A17" s="349" t="s">
        <v>18</v>
      </c>
      <c r="B17" s="55" t="s">
        <v>404</v>
      </c>
      <c r="C17" s="328"/>
      <c r="D17" s="325"/>
      <c r="E17" s="325"/>
      <c r="F17" s="325"/>
      <c r="G17" s="325"/>
      <c r="H17" s="62">
        <f t="shared" si="0"/>
        <v>0</v>
      </c>
    </row>
    <row r="18" spans="1:12" ht="14.4" x14ac:dyDescent="0.25">
      <c r="A18" s="349" t="s">
        <v>19</v>
      </c>
      <c r="B18" s="282" t="s">
        <v>319</v>
      </c>
      <c r="C18" s="328"/>
      <c r="D18" s="325"/>
      <c r="E18" s="325"/>
      <c r="F18" s="325">
        <v>1000000</v>
      </c>
      <c r="G18" s="325"/>
      <c r="H18" s="62">
        <f t="shared" si="0"/>
        <v>1000000</v>
      </c>
    </row>
    <row r="19" spans="1:12" ht="14.4" x14ac:dyDescent="0.25">
      <c r="A19" s="349" t="s">
        <v>181</v>
      </c>
      <c r="B19" s="282" t="s">
        <v>182</v>
      </c>
      <c r="C19" s="328"/>
      <c r="D19" s="325"/>
      <c r="E19" s="325"/>
      <c r="F19" s="325"/>
      <c r="G19" s="325"/>
      <c r="H19" s="62">
        <f t="shared" si="0"/>
        <v>0</v>
      </c>
      <c r="J19" s="70"/>
    </row>
    <row r="20" spans="1:12" s="5" customFormat="1" ht="14.4" x14ac:dyDescent="0.25">
      <c r="A20" s="173" t="s">
        <v>27</v>
      </c>
      <c r="B20" s="174" t="s">
        <v>89</v>
      </c>
      <c r="C20" s="175">
        <f>SUM(C7:C17)</f>
        <v>37</v>
      </c>
      <c r="D20" s="176">
        <f>SUM(D7:D19)</f>
        <v>30359988</v>
      </c>
      <c r="E20" s="176">
        <f>SUM(E7:E19)</f>
        <v>6338692</v>
      </c>
      <c r="F20" s="176">
        <f>SUM(F7:F19)</f>
        <v>36700000</v>
      </c>
      <c r="G20" s="176">
        <f>SUM(G7:G19)</f>
        <v>0</v>
      </c>
      <c r="H20" s="176">
        <f>SUM(D20:G20)</f>
        <v>73398680</v>
      </c>
    </row>
    <row r="21" spans="1:12" ht="14.4" x14ac:dyDescent="0.25">
      <c r="A21" s="324" t="s">
        <v>7</v>
      </c>
      <c r="B21" s="280" t="s">
        <v>479</v>
      </c>
      <c r="C21" s="328"/>
      <c r="D21" s="329"/>
      <c r="E21" s="329"/>
      <c r="F21" s="329"/>
      <c r="G21" s="330">
        <f>('10).Adott támogatások'!E13)</f>
        <v>1325000</v>
      </c>
      <c r="H21" s="62">
        <f>SUM(D21:G21)</f>
        <v>1325000</v>
      </c>
    </row>
    <row r="22" spans="1:12" ht="14.4" x14ac:dyDescent="0.25">
      <c r="A22" s="324" t="s">
        <v>8</v>
      </c>
      <c r="B22" s="282" t="s">
        <v>344</v>
      </c>
      <c r="C22" s="328"/>
      <c r="D22" s="325"/>
      <c r="E22" s="325"/>
      <c r="F22" s="325">
        <v>3070000</v>
      </c>
      <c r="G22" s="325"/>
      <c r="H22" s="62">
        <f>SUM(D22:G22)</f>
        <v>3070000</v>
      </c>
      <c r="L22" s="70"/>
    </row>
    <row r="23" spans="1:12" ht="14.4" x14ac:dyDescent="0.25">
      <c r="A23" s="324" t="s">
        <v>9</v>
      </c>
      <c r="B23" s="282" t="s">
        <v>178</v>
      </c>
      <c r="C23" s="328"/>
      <c r="D23" s="325"/>
      <c r="E23" s="325"/>
      <c r="F23" s="325">
        <v>1300000</v>
      </c>
      <c r="G23" s="325"/>
      <c r="H23" s="62">
        <f>SUM(D23:G23)</f>
        <v>1300000</v>
      </c>
    </row>
    <row r="24" spans="1:12" ht="14.4" x14ac:dyDescent="0.25">
      <c r="A24" s="324" t="s">
        <v>10</v>
      </c>
      <c r="B24" s="71" t="s">
        <v>96</v>
      </c>
      <c r="C24" s="328">
        <v>1</v>
      </c>
      <c r="D24" s="325">
        <v>1772000</v>
      </c>
      <c r="E24" s="325">
        <v>574660</v>
      </c>
      <c r="F24" s="325">
        <v>3000000</v>
      </c>
      <c r="G24" s="325"/>
      <c r="H24" s="62">
        <f>SUM(D24:G24)</f>
        <v>5346660</v>
      </c>
    </row>
    <row r="25" spans="1:12" ht="14.4" x14ac:dyDescent="0.25">
      <c r="A25" s="324" t="s">
        <v>11</v>
      </c>
      <c r="B25" s="282" t="s">
        <v>179</v>
      </c>
      <c r="C25" s="328"/>
      <c r="D25" s="325"/>
      <c r="E25" s="325"/>
      <c r="F25" s="325">
        <v>350000</v>
      </c>
      <c r="G25" s="325"/>
      <c r="H25" s="62">
        <f t="shared" ref="H25:H33" si="1">SUM(D25:G25)</f>
        <v>350000</v>
      </c>
    </row>
    <row r="26" spans="1:12" ht="14.4" x14ac:dyDescent="0.25">
      <c r="A26" s="324" t="s">
        <v>12</v>
      </c>
      <c r="B26" s="282" t="s">
        <v>86</v>
      </c>
      <c r="C26" s="328">
        <v>16</v>
      </c>
      <c r="D26" s="325">
        <f>30528750+205714</f>
        <v>30734464</v>
      </c>
      <c r="E26" s="325">
        <f>2481933+44389</f>
        <v>2526322</v>
      </c>
      <c r="F26" s="325">
        <v>5280000</v>
      </c>
      <c r="G26" s="325"/>
      <c r="H26" s="62">
        <f t="shared" si="1"/>
        <v>38540786</v>
      </c>
      <c r="K26" s="70"/>
    </row>
    <row r="27" spans="1:12" ht="14.4" x14ac:dyDescent="0.25">
      <c r="A27" s="324" t="s">
        <v>13</v>
      </c>
      <c r="B27" s="282" t="s">
        <v>296</v>
      </c>
      <c r="C27" s="328"/>
      <c r="D27" s="325"/>
      <c r="E27" s="325"/>
      <c r="F27" s="325"/>
      <c r="G27" s="325"/>
      <c r="H27" s="62">
        <f t="shared" si="1"/>
        <v>0</v>
      </c>
      <c r="K27" s="70"/>
    </row>
    <row r="28" spans="1:12" ht="14.4" x14ac:dyDescent="0.25">
      <c r="A28" s="324" t="s">
        <v>14</v>
      </c>
      <c r="B28" s="282" t="s">
        <v>298</v>
      </c>
      <c r="C28" s="328"/>
      <c r="D28" s="325"/>
      <c r="E28" s="325"/>
      <c r="F28" s="325">
        <v>300000</v>
      </c>
      <c r="G28" s="325"/>
      <c r="H28" s="62">
        <f t="shared" si="1"/>
        <v>300000</v>
      </c>
    </row>
    <row r="29" spans="1:12" ht="14.4" x14ac:dyDescent="0.25">
      <c r="A29" s="324" t="s">
        <v>15</v>
      </c>
      <c r="B29" s="282" t="s">
        <v>278</v>
      </c>
      <c r="C29" s="328"/>
      <c r="D29" s="325"/>
      <c r="E29" s="325"/>
      <c r="F29" s="325"/>
      <c r="G29" s="325"/>
      <c r="H29" s="62">
        <f t="shared" si="1"/>
        <v>0</v>
      </c>
    </row>
    <row r="30" spans="1:12" ht="14.4" x14ac:dyDescent="0.25">
      <c r="A30" s="324" t="s">
        <v>16</v>
      </c>
      <c r="B30" s="282" t="s">
        <v>293</v>
      </c>
      <c r="C30" s="328"/>
      <c r="D30" s="325"/>
      <c r="E30" s="325"/>
      <c r="F30" s="325">
        <v>300000</v>
      </c>
      <c r="G30" s="325"/>
      <c r="H30" s="62">
        <f t="shared" si="1"/>
        <v>300000</v>
      </c>
    </row>
    <row r="31" spans="1:12" ht="14.4" x14ac:dyDescent="0.25">
      <c r="A31" s="324" t="s">
        <v>17</v>
      </c>
      <c r="B31" s="282" t="s">
        <v>320</v>
      </c>
      <c r="C31" s="328"/>
      <c r="D31" s="325"/>
      <c r="E31" s="325"/>
      <c r="F31" s="325"/>
      <c r="G31" s="325"/>
      <c r="H31" s="62">
        <f t="shared" si="1"/>
        <v>0</v>
      </c>
    </row>
    <row r="32" spans="1:12" s="5" customFormat="1" ht="14.4" x14ac:dyDescent="0.25">
      <c r="A32" s="323" t="s">
        <v>31</v>
      </c>
      <c r="B32" s="283" t="s">
        <v>90</v>
      </c>
      <c r="C32" s="177">
        <f>SUM(C21:C31)</f>
        <v>17</v>
      </c>
      <c r="D32" s="88">
        <f>SUM(D21:D31)</f>
        <v>32506464</v>
      </c>
      <c r="E32" s="88">
        <f>SUM(E21:E31)</f>
        <v>3100982</v>
      </c>
      <c r="F32" s="88">
        <f>SUM(F21:F31)</f>
        <v>13600000</v>
      </c>
      <c r="G32" s="88">
        <f>SUM(G21:G31)</f>
        <v>1325000</v>
      </c>
      <c r="H32" s="88">
        <f>SUM(D32:G32)</f>
        <v>50532446</v>
      </c>
    </row>
    <row r="33" spans="1:11" ht="14.4" x14ac:dyDescent="0.25">
      <c r="A33" s="324" t="s">
        <v>32</v>
      </c>
      <c r="B33" s="282" t="s">
        <v>91</v>
      </c>
      <c r="C33" s="170"/>
      <c r="D33" s="53"/>
      <c r="E33" s="53"/>
      <c r="F33" s="53"/>
      <c r="G33" s="53"/>
      <c r="H33" s="62">
        <f t="shared" si="1"/>
        <v>0</v>
      </c>
    </row>
    <row r="34" spans="1:11" ht="14.4" x14ac:dyDescent="0.25">
      <c r="A34" s="642" t="s">
        <v>405</v>
      </c>
      <c r="B34" s="642"/>
      <c r="C34" s="171">
        <f>C32+C20+C33</f>
        <v>54</v>
      </c>
      <c r="D34" s="98">
        <f>D32+D20+D33</f>
        <v>62866452</v>
      </c>
      <c r="E34" s="98">
        <f t="shared" ref="E34:H34" si="2">E32+E20+E33</f>
        <v>9439674</v>
      </c>
      <c r="F34" s="98">
        <f t="shared" si="2"/>
        <v>50300000</v>
      </c>
      <c r="G34" s="98">
        <f>G32+G20+G33</f>
        <v>1325000</v>
      </c>
      <c r="H34" s="98">
        <f t="shared" si="2"/>
        <v>123931126</v>
      </c>
      <c r="J34" s="70"/>
    </row>
    <row r="35" spans="1:11" ht="14.4" x14ac:dyDescent="0.25">
      <c r="A35" s="674" t="s">
        <v>353</v>
      </c>
      <c r="B35" s="502"/>
      <c r="C35" s="172">
        <f>'3a).Személyi jutt intézmény'!C90</f>
        <v>54</v>
      </c>
      <c r="D35" s="96">
        <f>'3a).Személyi jutt intézmény'!F19</f>
        <v>62866452</v>
      </c>
      <c r="E35" s="96">
        <f>'3a).Személyi jutt intézmény'!F26</f>
        <v>9439673.75</v>
      </c>
      <c r="F35" s="96">
        <f>'3b).Dologi kiad intézmény'!F26</f>
        <v>50300000</v>
      </c>
      <c r="G35" s="62">
        <f>G34</f>
        <v>1325000</v>
      </c>
      <c r="H35" s="62">
        <f>SUM(D35:G35)</f>
        <v>123931125.75</v>
      </c>
      <c r="K35" s="70"/>
    </row>
    <row r="36" spans="1:11" s="348" customFormat="1" ht="14.4" x14ac:dyDescent="0.25">
      <c r="A36" s="664" t="s">
        <v>512</v>
      </c>
      <c r="B36" s="664"/>
      <c r="C36" s="347">
        <f>C34-C35</f>
        <v>0</v>
      </c>
      <c r="D36" s="347">
        <f>D34-D35</f>
        <v>0</v>
      </c>
      <c r="E36" s="347">
        <f t="shared" ref="E36" si="3">E34-E35</f>
        <v>0.25</v>
      </c>
      <c r="F36" s="347">
        <f t="shared" ref="F36" si="4">F34-F35</f>
        <v>0</v>
      </c>
      <c r="G36" s="347">
        <f t="shared" ref="G36" si="5">G34-G35</f>
        <v>0</v>
      </c>
      <c r="H36" s="347">
        <f t="shared" ref="H36" si="6">H34-H35</f>
        <v>0.25</v>
      </c>
    </row>
    <row r="37" spans="1:11" x14ac:dyDescent="0.25">
      <c r="A37" s="25"/>
      <c r="B37" s="24"/>
      <c r="C37" s="25"/>
      <c r="D37" s="178"/>
      <c r="E37" s="178"/>
      <c r="F37" s="178"/>
      <c r="G37" s="13"/>
      <c r="H37" s="13"/>
      <c r="J37" s="70"/>
    </row>
    <row r="38" spans="1:11" ht="18" x14ac:dyDescent="0.25">
      <c r="A38" s="668" t="s">
        <v>480</v>
      </c>
      <c r="B38" s="668"/>
      <c r="C38" s="668"/>
      <c r="D38" s="668"/>
      <c r="E38" s="668"/>
      <c r="F38" s="668"/>
      <c r="G38" s="668"/>
      <c r="H38" s="668"/>
    </row>
    <row r="39" spans="1:11" ht="14.4" x14ac:dyDescent="0.25">
      <c r="A39" s="324" t="s">
        <v>7</v>
      </c>
      <c r="B39" s="282" t="s">
        <v>361</v>
      </c>
      <c r="C39" s="331">
        <v>10</v>
      </c>
      <c r="D39" s="332">
        <f>40819500+7717074</f>
        <v>48536574</v>
      </c>
      <c r="E39" s="332">
        <v>8491985</v>
      </c>
      <c r="F39" s="332">
        <v>12592245</v>
      </c>
      <c r="G39" s="332"/>
      <c r="H39" s="49">
        <f>SUM(D39:G39)</f>
        <v>69620804</v>
      </c>
      <c r="J39" s="12"/>
    </row>
    <row r="40" spans="1:11" ht="14.4" x14ac:dyDescent="0.25">
      <c r="A40" s="324" t="s">
        <v>8</v>
      </c>
      <c r="B40" s="282" t="s">
        <v>362</v>
      </c>
      <c r="C40" s="331">
        <v>2</v>
      </c>
      <c r="D40" s="332">
        <v>3532900</v>
      </c>
      <c r="E40" s="332">
        <v>517787</v>
      </c>
      <c r="F40" s="332">
        <v>14017755</v>
      </c>
      <c r="G40" s="332"/>
      <c r="H40" s="49">
        <f>SUM(D40:G40)</f>
        <v>18068442</v>
      </c>
      <c r="J40" s="12"/>
    </row>
    <row r="41" spans="1:11" ht="14.4" x14ac:dyDescent="0.25">
      <c r="A41" s="323" t="s">
        <v>27</v>
      </c>
      <c r="B41" s="58" t="s">
        <v>84</v>
      </c>
      <c r="C41" s="59">
        <f>SUM(C39:C40)</f>
        <v>12</v>
      </c>
      <c r="D41" s="49">
        <f>SUM(D39:D40)</f>
        <v>52069474</v>
      </c>
      <c r="E41" s="49">
        <f t="shared" ref="E41:H41" si="7">SUM(E39:E40)</f>
        <v>9009772</v>
      </c>
      <c r="F41" s="49">
        <f t="shared" si="7"/>
        <v>26610000</v>
      </c>
      <c r="G41" s="49">
        <f t="shared" si="7"/>
        <v>0</v>
      </c>
      <c r="H41" s="49">
        <f t="shared" si="7"/>
        <v>87689246</v>
      </c>
      <c r="J41" s="165"/>
    </row>
    <row r="42" spans="1:11" ht="14.4" x14ac:dyDescent="0.25">
      <c r="A42" s="324" t="s">
        <v>31</v>
      </c>
      <c r="B42" s="297" t="s">
        <v>104</v>
      </c>
      <c r="C42" s="57"/>
      <c r="D42" s="51"/>
      <c r="E42" s="51"/>
      <c r="F42" s="51"/>
      <c r="G42" s="51"/>
      <c r="H42" s="49">
        <f>SUM(D42:G42)</f>
        <v>0</v>
      </c>
      <c r="J42" s="165"/>
    </row>
    <row r="43" spans="1:11" ht="14.4" x14ac:dyDescent="0.25">
      <c r="A43" s="324" t="s">
        <v>32</v>
      </c>
      <c r="B43" s="297" t="s">
        <v>180</v>
      </c>
      <c r="C43" s="57"/>
      <c r="D43" s="51"/>
      <c r="E43" s="51"/>
      <c r="F43" s="51"/>
      <c r="G43" s="51"/>
      <c r="H43" s="49">
        <f>SUM(D43:G43)</f>
        <v>0</v>
      </c>
      <c r="K43" s="70"/>
    </row>
    <row r="44" spans="1:11" ht="14.4" x14ac:dyDescent="0.25">
      <c r="A44" s="669" t="s">
        <v>360</v>
      </c>
      <c r="B44" s="670"/>
      <c r="C44" s="60">
        <f>C41+C42+C43</f>
        <v>12</v>
      </c>
      <c r="D44" s="50">
        <f>SUM(D41:D43)</f>
        <v>52069474</v>
      </c>
      <c r="E44" s="50">
        <f t="shared" ref="E44:H44" si="8">SUM(E41:E43)</f>
        <v>9009772</v>
      </c>
      <c r="F44" s="50">
        <f t="shared" si="8"/>
        <v>26610000</v>
      </c>
      <c r="G44" s="50">
        <f t="shared" si="8"/>
        <v>0</v>
      </c>
      <c r="H44" s="50">
        <f t="shared" si="8"/>
        <v>87689246</v>
      </c>
      <c r="K44" s="70"/>
    </row>
    <row r="45" spans="1:11" ht="14.4" x14ac:dyDescent="0.25">
      <c r="A45" s="635" t="s">
        <v>353</v>
      </c>
      <c r="B45" s="662"/>
      <c r="C45" s="56">
        <f>'3a).Személyi jutt intézmény'!D90</f>
        <v>12</v>
      </c>
      <c r="D45" s="48">
        <f>'3a).Személyi jutt intézmény'!F40</f>
        <v>52069474</v>
      </c>
      <c r="E45" s="48">
        <f>'3a).Személyi jutt intézmény'!F44</f>
        <v>9009772</v>
      </c>
      <c r="F45" s="48">
        <f>'3b).Dologi kiad intézmény'!F49</f>
        <v>26610000</v>
      </c>
      <c r="G45" s="37">
        <f>G44</f>
        <v>0</v>
      </c>
      <c r="H45" s="37">
        <f>SUM(D45:G45)</f>
        <v>87689246</v>
      </c>
    </row>
    <row r="46" spans="1:11" s="348" customFormat="1" ht="14.4" x14ac:dyDescent="0.25">
      <c r="A46" s="664" t="s">
        <v>512</v>
      </c>
      <c r="B46" s="664"/>
      <c r="C46" s="347">
        <f>C44-C45</f>
        <v>0</v>
      </c>
      <c r="D46" s="347">
        <f>D44-D45</f>
        <v>0</v>
      </c>
      <c r="E46" s="347">
        <f t="shared" ref="E46" si="9">E44-E45</f>
        <v>0</v>
      </c>
      <c r="F46" s="347">
        <f t="shared" ref="F46" si="10">F44-F45</f>
        <v>0</v>
      </c>
      <c r="G46" s="347">
        <f t="shared" ref="G46" si="11">G44-G45</f>
        <v>0</v>
      </c>
      <c r="H46" s="347">
        <f t="shared" ref="H46" si="12">H44-H45</f>
        <v>0</v>
      </c>
    </row>
    <row r="47" spans="1:11" x14ac:dyDescent="0.25">
      <c r="A47" s="25"/>
      <c r="B47" s="24"/>
      <c r="C47" s="25"/>
      <c r="D47" s="178"/>
      <c r="E47" s="178"/>
      <c r="F47" s="178"/>
      <c r="G47" s="13"/>
      <c r="H47" s="13"/>
    </row>
    <row r="48" spans="1:11" ht="18" x14ac:dyDescent="0.25">
      <c r="A48" s="671" t="s">
        <v>548</v>
      </c>
      <c r="B48" s="672"/>
      <c r="C48" s="672"/>
      <c r="D48" s="672"/>
      <c r="E48" s="672"/>
      <c r="F48" s="672"/>
      <c r="G48" s="672"/>
      <c r="H48" s="673"/>
    </row>
    <row r="49" spans="1:12" ht="14.4" x14ac:dyDescent="0.25">
      <c r="A49" s="324" t="s">
        <v>7</v>
      </c>
      <c r="B49" s="282" t="s">
        <v>92</v>
      </c>
      <c r="C49" s="333">
        <v>12</v>
      </c>
      <c r="D49" s="334">
        <v>36565548</v>
      </c>
      <c r="E49" s="334">
        <v>7086633</v>
      </c>
      <c r="F49" s="334">
        <f>3968955+925000</f>
        <v>4893955</v>
      </c>
      <c r="G49" s="334"/>
      <c r="H49" s="37">
        <f>SUM(D49:G49)</f>
        <v>48546136</v>
      </c>
    </row>
    <row r="50" spans="1:12" ht="14.4" x14ac:dyDescent="0.25">
      <c r="A50" s="350" t="s">
        <v>27</v>
      </c>
      <c r="B50" s="41" t="s">
        <v>89</v>
      </c>
      <c r="C50" s="335">
        <f>C49</f>
        <v>12</v>
      </c>
      <c r="D50" s="336">
        <f>D49</f>
        <v>36565548</v>
      </c>
      <c r="E50" s="336">
        <f t="shared" ref="E50:G50" si="13">E49</f>
        <v>7086633</v>
      </c>
      <c r="F50" s="336">
        <f t="shared" si="13"/>
        <v>4893955</v>
      </c>
      <c r="G50" s="336">
        <f t="shared" si="13"/>
        <v>0</v>
      </c>
      <c r="H50" s="37">
        <f t="shared" ref="H50:H54" si="14">SUM(D50:G50)</f>
        <v>48546136</v>
      </c>
      <c r="J50" s="70"/>
    </row>
    <row r="51" spans="1:12" ht="14.4" x14ac:dyDescent="0.25">
      <c r="A51" s="324" t="s">
        <v>7</v>
      </c>
      <c r="B51" s="282" t="s">
        <v>363</v>
      </c>
      <c r="C51" s="333">
        <v>6</v>
      </c>
      <c r="D51" s="334">
        <f>14728626+1304444</f>
        <v>16033070</v>
      </c>
      <c r="E51" s="334">
        <f>1163367+453015</f>
        <v>1616382</v>
      </c>
      <c r="F51" s="334">
        <v>446045</v>
      </c>
      <c r="G51" s="334"/>
      <c r="H51" s="37">
        <f t="shared" si="14"/>
        <v>18095497</v>
      </c>
      <c r="K51" s="70"/>
    </row>
    <row r="52" spans="1:12" ht="14.4" x14ac:dyDescent="0.25">
      <c r="A52" s="350" t="s">
        <v>31</v>
      </c>
      <c r="B52" s="41" t="s">
        <v>90</v>
      </c>
      <c r="C52" s="335">
        <f>C51</f>
        <v>6</v>
      </c>
      <c r="D52" s="336">
        <f>SUM(D51)</f>
        <v>16033070</v>
      </c>
      <c r="E52" s="336">
        <f t="shared" ref="E52:G52" si="15">SUM(E51)</f>
        <v>1616382</v>
      </c>
      <c r="F52" s="336">
        <f t="shared" si="15"/>
        <v>446045</v>
      </c>
      <c r="G52" s="336">
        <f t="shared" si="15"/>
        <v>0</v>
      </c>
      <c r="H52" s="37">
        <f t="shared" si="14"/>
        <v>18095497</v>
      </c>
    </row>
    <row r="53" spans="1:12" ht="14.4" x14ac:dyDescent="0.25">
      <c r="A53" s="324" t="s">
        <v>32</v>
      </c>
      <c r="B53" s="282" t="s">
        <v>180</v>
      </c>
      <c r="C53" s="337"/>
      <c r="D53" s="334"/>
      <c r="E53" s="334"/>
      <c r="F53" s="334"/>
      <c r="G53" s="334"/>
      <c r="H53" s="37">
        <f t="shared" si="14"/>
        <v>0</v>
      </c>
    </row>
    <row r="54" spans="1:12" ht="14.4" x14ac:dyDescent="0.25">
      <c r="A54" s="669" t="s">
        <v>360</v>
      </c>
      <c r="B54" s="670"/>
      <c r="C54" s="338">
        <f>C50+C52+C53</f>
        <v>18</v>
      </c>
      <c r="D54" s="339">
        <f>D50+D52+D53</f>
        <v>52598618</v>
      </c>
      <c r="E54" s="339">
        <f t="shared" ref="E54:G54" si="16">E50+E52+E53</f>
        <v>8703015</v>
      </c>
      <c r="F54" s="339">
        <f t="shared" si="16"/>
        <v>5340000</v>
      </c>
      <c r="G54" s="339">
        <f t="shared" si="16"/>
        <v>0</v>
      </c>
      <c r="H54" s="61">
        <f t="shared" si="14"/>
        <v>66641633</v>
      </c>
      <c r="J54" s="70"/>
    </row>
    <row r="55" spans="1:12" ht="14.4" x14ac:dyDescent="0.25">
      <c r="A55" s="661" t="s">
        <v>353</v>
      </c>
      <c r="B55" s="662"/>
      <c r="C55" s="56">
        <f>'3a).Személyi jutt intézmény'!F90</f>
        <v>18</v>
      </c>
      <c r="D55" s="48">
        <f>'3a).Személyi jutt intézmény'!F76</f>
        <v>52598618</v>
      </c>
      <c r="E55" s="48">
        <f>'3a).Személyi jutt intézmény'!F80</f>
        <v>8703015</v>
      </c>
      <c r="F55" s="48">
        <f>'3b).Dologi kiad intézmény'!F95</f>
        <v>5340000</v>
      </c>
      <c r="G55" s="37">
        <f>G54</f>
        <v>0</v>
      </c>
      <c r="H55" s="37">
        <f>SUM(D55:G55)</f>
        <v>66641633</v>
      </c>
    </row>
    <row r="56" spans="1:12" s="348" customFormat="1" ht="14.4" x14ac:dyDescent="0.25">
      <c r="A56" s="664" t="s">
        <v>512</v>
      </c>
      <c r="B56" s="664"/>
      <c r="C56" s="347">
        <f>C54-C55</f>
        <v>0</v>
      </c>
      <c r="D56" s="347">
        <f>D54-D55</f>
        <v>0</v>
      </c>
      <c r="E56" s="347">
        <f t="shared" ref="E56" si="17">E54-E55</f>
        <v>0</v>
      </c>
      <c r="F56" s="347">
        <f t="shared" ref="F56" si="18">F54-F55</f>
        <v>0</v>
      </c>
      <c r="G56" s="347">
        <f t="shared" ref="G56" si="19">G54-G55</f>
        <v>0</v>
      </c>
      <c r="H56" s="347">
        <f t="shared" ref="H56" si="20">H54-H55</f>
        <v>0</v>
      </c>
    </row>
    <row r="57" spans="1:12" ht="14.4" x14ac:dyDescent="0.25">
      <c r="A57" s="25"/>
      <c r="B57" s="26"/>
      <c r="C57" s="27"/>
      <c r="D57" s="28"/>
      <c r="E57" s="28"/>
      <c r="F57" s="179"/>
      <c r="G57" s="29"/>
      <c r="H57" s="28"/>
    </row>
    <row r="58" spans="1:12" ht="18" x14ac:dyDescent="0.25">
      <c r="A58" s="663" t="s">
        <v>547</v>
      </c>
      <c r="B58" s="663"/>
      <c r="C58" s="663"/>
      <c r="D58" s="663"/>
      <c r="E58" s="663"/>
      <c r="F58" s="663"/>
      <c r="G58" s="663"/>
      <c r="H58" s="663"/>
      <c r="J58" s="70"/>
    </row>
    <row r="59" spans="1:12" ht="14.4" x14ac:dyDescent="0.25">
      <c r="A59" s="324" t="s">
        <v>7</v>
      </c>
      <c r="B59" s="282" t="s">
        <v>354</v>
      </c>
      <c r="C59" s="340">
        <v>1</v>
      </c>
      <c r="D59" s="332">
        <v>6771473</v>
      </c>
      <c r="E59" s="332">
        <v>915502</v>
      </c>
      <c r="F59" s="332">
        <v>1580000</v>
      </c>
      <c r="G59" s="332"/>
      <c r="H59" s="49">
        <f t="shared" ref="H59:H67" si="21">SUM(D59:G59)</f>
        <v>9266975</v>
      </c>
      <c r="L59" s="70"/>
    </row>
    <row r="60" spans="1:12" ht="14.4" x14ac:dyDescent="0.25">
      <c r="A60" s="324" t="s">
        <v>8</v>
      </c>
      <c r="B60" s="282" t="s">
        <v>359</v>
      </c>
      <c r="C60" s="340">
        <v>1</v>
      </c>
      <c r="D60" s="332">
        <v>1897054</v>
      </c>
      <c r="E60" s="332">
        <v>571035</v>
      </c>
      <c r="F60" s="332">
        <v>400000</v>
      </c>
      <c r="G60" s="332"/>
      <c r="H60" s="49">
        <f t="shared" si="21"/>
        <v>2868089</v>
      </c>
    </row>
    <row r="61" spans="1:12" ht="14.4" x14ac:dyDescent="0.25">
      <c r="A61" s="324" t="s">
        <v>9</v>
      </c>
      <c r="B61" s="282" t="s">
        <v>355</v>
      </c>
      <c r="C61" s="340">
        <v>3</v>
      </c>
      <c r="D61" s="332">
        <v>7109139</v>
      </c>
      <c r="E61" s="332">
        <v>1166118</v>
      </c>
      <c r="F61" s="332">
        <v>130000</v>
      </c>
      <c r="G61" s="332"/>
      <c r="H61" s="49">
        <f t="shared" si="21"/>
        <v>8405257</v>
      </c>
    </row>
    <row r="62" spans="1:12" ht="14.4" x14ac:dyDescent="0.25">
      <c r="A62" s="324" t="s">
        <v>10</v>
      </c>
      <c r="B62" s="282" t="s">
        <v>356</v>
      </c>
      <c r="C62" s="340">
        <v>1</v>
      </c>
      <c r="D62" s="332">
        <v>4875188</v>
      </c>
      <c r="E62" s="332">
        <v>759561</v>
      </c>
      <c r="F62" s="332">
        <v>805000</v>
      </c>
      <c r="G62" s="332"/>
      <c r="H62" s="49">
        <f t="shared" si="21"/>
        <v>6439749</v>
      </c>
      <c r="K62" s="70"/>
    </row>
    <row r="63" spans="1:12" ht="14.4" x14ac:dyDescent="0.25">
      <c r="A63" s="324" t="s">
        <v>11</v>
      </c>
      <c r="B63" s="282" t="s">
        <v>357</v>
      </c>
      <c r="C63" s="340">
        <v>1</v>
      </c>
      <c r="D63" s="332">
        <v>3035029</v>
      </c>
      <c r="E63" s="332">
        <v>548340</v>
      </c>
      <c r="F63" s="332">
        <v>130000</v>
      </c>
      <c r="G63" s="332"/>
      <c r="H63" s="49">
        <f t="shared" si="21"/>
        <v>3713369</v>
      </c>
    </row>
    <row r="64" spans="1:12" ht="14.4" x14ac:dyDescent="0.25">
      <c r="A64" s="324" t="s">
        <v>12</v>
      </c>
      <c r="B64" s="282" t="s">
        <v>358</v>
      </c>
      <c r="C64" s="340">
        <v>1</v>
      </c>
      <c r="D64" s="332">
        <v>3192200</v>
      </c>
      <c r="E64" s="332">
        <v>622479</v>
      </c>
      <c r="F64" s="332">
        <v>130000</v>
      </c>
      <c r="G64" s="332"/>
      <c r="H64" s="49">
        <f t="shared" si="21"/>
        <v>3944679</v>
      </c>
      <c r="K64" s="70"/>
      <c r="L64" s="70"/>
    </row>
    <row r="65" spans="1:10" ht="14.4" x14ac:dyDescent="0.25">
      <c r="A65" s="505" t="s">
        <v>95</v>
      </c>
      <c r="B65" s="505"/>
      <c r="C65" s="341">
        <f>SUM(C59:C64)</f>
        <v>8</v>
      </c>
      <c r="D65" s="342">
        <f t="shared" ref="C65:G65" si="22">SUM(D59:D64)</f>
        <v>26880083</v>
      </c>
      <c r="E65" s="342">
        <f t="shared" si="22"/>
        <v>4583035</v>
      </c>
      <c r="F65" s="342">
        <f t="shared" si="22"/>
        <v>3175000</v>
      </c>
      <c r="G65" s="342">
        <f t="shared" si="22"/>
        <v>0</v>
      </c>
      <c r="H65" s="49">
        <f t="shared" si="21"/>
        <v>34638118</v>
      </c>
      <c r="J65" s="13"/>
    </row>
    <row r="66" spans="1:10" ht="14.4" x14ac:dyDescent="0.25">
      <c r="A66" s="642" t="s">
        <v>360</v>
      </c>
      <c r="B66" s="642"/>
      <c r="C66" s="343">
        <f t="shared" ref="C66:G66" si="23">C65</f>
        <v>8</v>
      </c>
      <c r="D66" s="344">
        <f t="shared" si="23"/>
        <v>26880083</v>
      </c>
      <c r="E66" s="344">
        <f t="shared" si="23"/>
        <v>4583035</v>
      </c>
      <c r="F66" s="344">
        <f t="shared" si="23"/>
        <v>3175000</v>
      </c>
      <c r="G66" s="344">
        <f t="shared" si="23"/>
        <v>0</v>
      </c>
      <c r="H66" s="50">
        <f t="shared" si="21"/>
        <v>34638118</v>
      </c>
    </row>
    <row r="67" spans="1:10" ht="14.4" x14ac:dyDescent="0.25">
      <c r="A67" s="502" t="s">
        <v>353</v>
      </c>
      <c r="B67" s="502"/>
      <c r="C67" s="345">
        <f>'3a).Személyi jutt intézmény'!E90</f>
        <v>8</v>
      </c>
      <c r="D67" s="346">
        <f>'3a).Személyi jutt intézmény'!F58</f>
        <v>26880083</v>
      </c>
      <c r="E67" s="346">
        <f>'3a).Személyi jutt intézmény'!F62</f>
        <v>4583035</v>
      </c>
      <c r="F67" s="346">
        <f>'3b).Dologi kiad intézmény'!F72</f>
        <v>3175000</v>
      </c>
      <c r="G67" s="342">
        <f>G66</f>
        <v>0</v>
      </c>
      <c r="H67" s="49">
        <f t="shared" si="21"/>
        <v>34638118</v>
      </c>
    </row>
    <row r="68" spans="1:10" s="348" customFormat="1" ht="14.4" x14ac:dyDescent="0.25">
      <c r="A68" s="664" t="s">
        <v>512</v>
      </c>
      <c r="B68" s="664"/>
      <c r="C68" s="347">
        <f>C66-C67</f>
        <v>0</v>
      </c>
      <c r="D68" s="347">
        <f>D66-D67</f>
        <v>0</v>
      </c>
      <c r="E68" s="347">
        <f t="shared" ref="E68:F68" si="24">E66-E67</f>
        <v>0</v>
      </c>
      <c r="F68" s="347">
        <f t="shared" si="24"/>
        <v>0</v>
      </c>
      <c r="G68" s="347">
        <f t="shared" ref="G68" si="25">G66-G67</f>
        <v>0</v>
      </c>
      <c r="H68" s="347">
        <f t="shared" ref="H68" si="26">H66-H67</f>
        <v>0</v>
      </c>
    </row>
    <row r="69" spans="1:10" ht="14.4" x14ac:dyDescent="0.25">
      <c r="A69" s="351"/>
      <c r="B69" s="35"/>
      <c r="C69" s="34"/>
      <c r="D69" s="32"/>
      <c r="E69" s="32"/>
      <c r="F69" s="32"/>
      <c r="G69" s="32"/>
      <c r="H69" s="32"/>
    </row>
    <row r="70" spans="1:10" ht="14.4" x14ac:dyDescent="0.25">
      <c r="A70" s="642" t="s">
        <v>93</v>
      </c>
      <c r="B70" s="642"/>
      <c r="C70" s="642"/>
      <c r="D70" s="50">
        <f>D66+D54+D44+D34</f>
        <v>194414627</v>
      </c>
      <c r="E70" s="50">
        <f t="shared" ref="E70:H70" si="27">E66+E54+E44+E34</f>
        <v>31735496</v>
      </c>
      <c r="F70" s="50">
        <f t="shared" si="27"/>
        <v>85425000</v>
      </c>
      <c r="G70" s="50">
        <f t="shared" si="27"/>
        <v>1325000</v>
      </c>
      <c r="H70" s="50">
        <f t="shared" si="27"/>
        <v>312900123</v>
      </c>
    </row>
    <row r="71" spans="1:10" ht="15.6" x14ac:dyDescent="0.3">
      <c r="A71" s="352"/>
    </row>
  </sheetData>
  <mergeCells count="22">
    <mergeCell ref="A44:B44"/>
    <mergeCell ref="A45:B45"/>
    <mergeCell ref="A48:H48"/>
    <mergeCell ref="A54:B54"/>
    <mergeCell ref="A34:B34"/>
    <mergeCell ref="A35:B35"/>
    <mergeCell ref="A46:B46"/>
    <mergeCell ref="A36:B36"/>
    <mergeCell ref="B6:H6"/>
    <mergeCell ref="A38:H38"/>
    <mergeCell ref="A1:H1"/>
    <mergeCell ref="A2:H2"/>
    <mergeCell ref="A4:H4"/>
    <mergeCell ref="A5:H5"/>
    <mergeCell ref="A70:C70"/>
    <mergeCell ref="A55:B55"/>
    <mergeCell ref="A58:H58"/>
    <mergeCell ref="A65:B65"/>
    <mergeCell ref="A66:B66"/>
    <mergeCell ref="A67:B67"/>
    <mergeCell ref="A68:B68"/>
    <mergeCell ref="A56:B56"/>
  </mergeCells>
  <printOptions horizontalCentered="1" verticalCentered="1"/>
  <pageMargins left="0.70866141732283461" right="0.70866141732283461" top="0.74803149606299213" bottom="0.74803149606299213" header="0.31496062992125984" footer="0.31496062992125984"/>
  <pageSetup paperSize="9" scale="74" orientation="portrait" r:id="rId1"/>
  <headerFooter>
    <oddHeader>&amp;R4./a sz. melléklet
Ft-ban</oddHeader>
  </headerFooter>
  <ignoredErrors>
    <ignoredError sqref="H59:H64 H49 H39:H40 H51 H22:H24 H27" formulaRange="1"/>
    <ignoredError sqref="H34 H41 H44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Munka9">
    <pageSetUpPr fitToPage="1"/>
  </sheetPr>
  <dimension ref="A1:P17"/>
  <sheetViews>
    <sheetView zoomScaleNormal="100" workbookViewId="0">
      <selection activeCell="P17" sqref="P17"/>
    </sheetView>
  </sheetViews>
  <sheetFormatPr defaultColWidth="9.109375" defaultRowHeight="13.2" x14ac:dyDescent="0.25"/>
  <cols>
    <col min="1" max="1" width="21.6640625" style="4" customWidth="1"/>
    <col min="2" max="7" width="12" style="4" bestFit="1" customWidth="1"/>
    <col min="8" max="8" width="12.88671875" style="4" bestFit="1" customWidth="1"/>
    <col min="9" max="11" width="12" style="4" bestFit="1" customWidth="1"/>
    <col min="12" max="12" width="12.33203125" style="4" bestFit="1" customWidth="1"/>
    <col min="13" max="13" width="12" style="4" bestFit="1" customWidth="1"/>
    <col min="14" max="15" width="12.88671875" style="4" bestFit="1" customWidth="1"/>
    <col min="16" max="16" width="12.33203125" style="4" bestFit="1" customWidth="1"/>
    <col min="17" max="16384" width="9.109375" style="4"/>
  </cols>
  <sheetData>
    <row r="1" spans="1:16" ht="18" x14ac:dyDescent="0.25">
      <c r="A1" s="675" t="s">
        <v>56</v>
      </c>
      <c r="B1" s="676"/>
      <c r="C1" s="676"/>
      <c r="D1" s="676"/>
      <c r="E1" s="676"/>
      <c r="F1" s="676"/>
      <c r="G1" s="676"/>
      <c r="H1" s="676"/>
      <c r="I1" s="676"/>
      <c r="J1" s="676"/>
      <c r="K1" s="676"/>
      <c r="L1" s="676"/>
      <c r="M1" s="676"/>
      <c r="N1" s="676"/>
      <c r="O1" s="677"/>
    </row>
    <row r="2" spans="1:16" ht="18" x14ac:dyDescent="0.25">
      <c r="A2" s="678" t="s">
        <v>488</v>
      </c>
      <c r="B2" s="679"/>
      <c r="C2" s="679"/>
      <c r="D2" s="679"/>
      <c r="E2" s="679"/>
      <c r="F2" s="679"/>
      <c r="G2" s="679"/>
      <c r="H2" s="679"/>
      <c r="I2" s="679"/>
      <c r="J2" s="679"/>
      <c r="K2" s="679"/>
      <c r="L2" s="679"/>
      <c r="M2" s="679"/>
      <c r="N2" s="679"/>
      <c r="O2" s="680"/>
    </row>
    <row r="3" spans="1:16" ht="15.6" x14ac:dyDescent="0.3">
      <c r="A3" s="84"/>
    </row>
    <row r="4" spans="1:16" s="5" customFormat="1" ht="14.4" x14ac:dyDescent="0.25">
      <c r="A4" s="296" t="s">
        <v>54</v>
      </c>
      <c r="B4" s="296" t="s">
        <v>461</v>
      </c>
      <c r="C4" s="296" t="s">
        <v>462</v>
      </c>
      <c r="D4" s="296" t="s">
        <v>463</v>
      </c>
      <c r="E4" s="296" t="s">
        <v>442</v>
      </c>
      <c r="F4" s="296" t="s">
        <v>464</v>
      </c>
      <c r="G4" s="296" t="s">
        <v>465</v>
      </c>
      <c r="H4" s="296" t="s">
        <v>466</v>
      </c>
      <c r="I4" s="296" t="s">
        <v>467</v>
      </c>
      <c r="J4" s="296" t="s">
        <v>443</v>
      </c>
      <c r="K4" s="296" t="s">
        <v>468</v>
      </c>
      <c r="L4" s="296" t="s">
        <v>444</v>
      </c>
      <c r="M4" s="296" t="s">
        <v>445</v>
      </c>
      <c r="N4" s="296" t="s">
        <v>20</v>
      </c>
      <c r="O4" s="296" t="s">
        <v>469</v>
      </c>
    </row>
    <row r="5" spans="1:16" ht="28.8" x14ac:dyDescent="0.25">
      <c r="A5" s="185" t="s">
        <v>271</v>
      </c>
      <c r="B5" s="360">
        <v>19889254</v>
      </c>
      <c r="C5" s="360">
        <v>19889254</v>
      </c>
      <c r="D5" s="360">
        <v>19889254</v>
      </c>
      <c r="E5" s="360">
        <v>19889254</v>
      </c>
      <c r="F5" s="360">
        <v>19889254</v>
      </c>
      <c r="G5" s="360">
        <v>19889254</v>
      </c>
      <c r="H5" s="360">
        <v>19889254</v>
      </c>
      <c r="I5" s="360">
        <v>19889254</v>
      </c>
      <c r="J5" s="360">
        <v>19889254</v>
      </c>
      <c r="K5" s="360">
        <v>19889254</v>
      </c>
      <c r="L5" s="360">
        <v>19889254</v>
      </c>
      <c r="M5" s="360">
        <v>19889257</v>
      </c>
      <c r="N5" s="246">
        <f>SUM(B5:M5)</f>
        <v>238671051</v>
      </c>
      <c r="O5" s="63">
        <f>'1).Bevételek összesen'!H13</f>
        <v>238671051</v>
      </c>
      <c r="P5" s="70"/>
    </row>
    <row r="6" spans="1:16" ht="28.8" x14ac:dyDescent="0.25">
      <c r="A6" s="185" t="s">
        <v>272</v>
      </c>
      <c r="B6" s="360">
        <v>5706632</v>
      </c>
      <c r="C6" s="360">
        <v>5706632</v>
      </c>
      <c r="D6" s="360">
        <v>5706632</v>
      </c>
      <c r="E6" s="360">
        <v>5706632</v>
      </c>
      <c r="F6" s="360">
        <v>5706632</v>
      </c>
      <c r="G6" s="360">
        <v>5706632</v>
      </c>
      <c r="H6" s="360">
        <v>5706632</v>
      </c>
      <c r="I6" s="360">
        <v>5706632</v>
      </c>
      <c r="J6" s="360">
        <v>5706632</v>
      </c>
      <c r="K6" s="360">
        <v>5706632</v>
      </c>
      <c r="L6" s="360">
        <v>5706632</v>
      </c>
      <c r="M6" s="360">
        <v>5706631</v>
      </c>
      <c r="N6" s="246">
        <f t="shared" ref="N6:N11" si="0">SUM(B6:M6)</f>
        <v>68479583</v>
      </c>
      <c r="O6" s="63">
        <f>('1).Bevételek összesen'!H16)</f>
        <v>68479583</v>
      </c>
      <c r="P6" s="70"/>
    </row>
    <row r="7" spans="1:16" ht="14.4" x14ac:dyDescent="0.25">
      <c r="A7" s="185" t="s">
        <v>55</v>
      </c>
      <c r="B7" s="360">
        <v>4620966</v>
      </c>
      <c r="C7" s="360">
        <v>4620966</v>
      </c>
      <c r="D7" s="360">
        <v>4620966</v>
      </c>
      <c r="E7" s="360">
        <v>4620966</v>
      </c>
      <c r="F7" s="360">
        <v>4620966</v>
      </c>
      <c r="G7" s="360">
        <v>4620966</v>
      </c>
      <c r="H7" s="360">
        <v>4620966</v>
      </c>
      <c r="I7" s="360">
        <v>4620966</v>
      </c>
      <c r="J7" s="360">
        <v>4620966</v>
      </c>
      <c r="K7" s="360">
        <v>4620966</v>
      </c>
      <c r="L7" s="360">
        <v>4620966</v>
      </c>
      <c r="M7" s="360">
        <v>4620970</v>
      </c>
      <c r="N7" s="246">
        <f t="shared" si="0"/>
        <v>55451596</v>
      </c>
      <c r="O7" s="63">
        <f>('1).Bevételek összesen'!H21)</f>
        <v>55451596</v>
      </c>
      <c r="P7" s="70"/>
    </row>
    <row r="8" spans="1:16" ht="14.4" x14ac:dyDescent="0.25">
      <c r="A8" s="185" t="s">
        <v>28</v>
      </c>
      <c r="B8" s="360">
        <v>1871292</v>
      </c>
      <c r="C8" s="360">
        <v>1871292</v>
      </c>
      <c r="D8" s="360">
        <v>1871292</v>
      </c>
      <c r="E8" s="360">
        <v>1871292</v>
      </c>
      <c r="F8" s="360">
        <v>1871292</v>
      </c>
      <c r="G8" s="360">
        <v>1871292</v>
      </c>
      <c r="H8" s="360">
        <v>1871292</v>
      </c>
      <c r="I8" s="360">
        <v>1871292</v>
      </c>
      <c r="J8" s="360">
        <v>1871292</v>
      </c>
      <c r="K8" s="360">
        <v>1871292</v>
      </c>
      <c r="L8" s="360">
        <v>1871292</v>
      </c>
      <c r="M8" s="360">
        <v>1871288</v>
      </c>
      <c r="N8" s="246">
        <f t="shared" si="0"/>
        <v>22455500</v>
      </c>
      <c r="O8" s="63">
        <f>('1).Bevételek összesen'!H22)</f>
        <v>22455500</v>
      </c>
      <c r="P8" s="70"/>
    </row>
    <row r="9" spans="1:16" ht="14.4" x14ac:dyDescent="0.25">
      <c r="A9" s="185" t="s">
        <v>385</v>
      </c>
      <c r="B9" s="360"/>
      <c r="C9" s="360"/>
      <c r="D9" s="360"/>
      <c r="E9" s="360">
        <v>2360000</v>
      </c>
      <c r="F9" s="360"/>
      <c r="G9" s="360">
        <v>1500000</v>
      </c>
      <c r="H9" s="360"/>
      <c r="I9" s="360"/>
      <c r="J9" s="360">
        <v>278000</v>
      </c>
      <c r="K9" s="360">
        <v>654286</v>
      </c>
      <c r="L9" s="360">
        <v>3059142</v>
      </c>
      <c r="M9" s="360"/>
      <c r="N9" s="246">
        <f t="shared" si="0"/>
        <v>7851428</v>
      </c>
      <c r="O9" s="63">
        <f>('1).Bevételek összesen'!H25)</f>
        <v>7851428</v>
      </c>
      <c r="P9" s="70"/>
    </row>
    <row r="10" spans="1:16" ht="28.8" x14ac:dyDescent="0.25">
      <c r="A10" s="185" t="s">
        <v>159</v>
      </c>
      <c r="B10" s="360">
        <v>100000</v>
      </c>
      <c r="C10" s="360">
        <v>100000</v>
      </c>
      <c r="D10" s="360">
        <v>100000</v>
      </c>
      <c r="E10" s="360">
        <v>100000</v>
      </c>
      <c r="F10" s="360">
        <v>50000</v>
      </c>
      <c r="G10" s="360">
        <v>50000</v>
      </c>
      <c r="H10" s="360">
        <v>23000</v>
      </c>
      <c r="I10" s="360"/>
      <c r="J10" s="360">
        <v>5700</v>
      </c>
      <c r="K10" s="360"/>
      <c r="L10" s="360"/>
      <c r="M10" s="360"/>
      <c r="N10" s="246">
        <f t="shared" si="0"/>
        <v>528700</v>
      </c>
      <c r="O10" s="63">
        <f>('1).Bevételek összesen'!H28)</f>
        <v>528700</v>
      </c>
      <c r="P10" s="70"/>
    </row>
    <row r="11" spans="1:16" ht="28.8" x14ac:dyDescent="0.25">
      <c r="A11" s="185" t="s">
        <v>162</v>
      </c>
      <c r="B11" s="360"/>
      <c r="C11" s="360"/>
      <c r="D11" s="360">
        <v>23000000</v>
      </c>
      <c r="E11" s="360"/>
      <c r="F11" s="360"/>
      <c r="G11" s="360">
        <v>12213088</v>
      </c>
      <c r="H11" s="360"/>
      <c r="I11" s="360"/>
      <c r="J11" s="360"/>
      <c r="K11" s="360"/>
      <c r="L11" s="360"/>
      <c r="M11" s="360"/>
      <c r="N11" s="246">
        <f t="shared" si="0"/>
        <v>35213088</v>
      </c>
      <c r="O11" s="63">
        <f>('1).Bevételek összesen'!H30)</f>
        <v>35213088</v>
      </c>
      <c r="P11" s="70"/>
    </row>
    <row r="12" spans="1:16" ht="28.8" x14ac:dyDescent="0.25">
      <c r="A12" s="185" t="s">
        <v>58</v>
      </c>
      <c r="B12" s="360"/>
      <c r="C12" s="360"/>
      <c r="D12" s="360"/>
      <c r="E12" s="360"/>
      <c r="F12" s="360"/>
      <c r="G12" s="360"/>
      <c r="H12" s="360"/>
      <c r="I12" s="360"/>
      <c r="J12" s="360"/>
      <c r="K12" s="360"/>
      <c r="L12" s="360"/>
      <c r="M12" s="360"/>
      <c r="N12" s="246">
        <v>0</v>
      </c>
      <c r="O12" s="63">
        <v>0</v>
      </c>
      <c r="P12" s="70"/>
    </row>
    <row r="13" spans="1:16" ht="14.4" x14ac:dyDescent="0.25">
      <c r="A13" s="283" t="s">
        <v>1</v>
      </c>
      <c r="B13" s="52">
        <f t="shared" ref="B13:L13" si="1">SUM(B5:B12)</f>
        <v>32188144</v>
      </c>
      <c r="C13" s="52">
        <f t="shared" si="1"/>
        <v>32188144</v>
      </c>
      <c r="D13" s="52">
        <f t="shared" si="1"/>
        <v>55188144</v>
      </c>
      <c r="E13" s="52">
        <f t="shared" si="1"/>
        <v>34548144</v>
      </c>
      <c r="F13" s="52">
        <f t="shared" si="1"/>
        <v>32138144</v>
      </c>
      <c r="G13" s="52">
        <f t="shared" si="1"/>
        <v>45851232</v>
      </c>
      <c r="H13" s="52">
        <f>SUM(H5:H12)</f>
        <v>32111144</v>
      </c>
      <c r="I13" s="52">
        <f t="shared" si="1"/>
        <v>32088144</v>
      </c>
      <c r="J13" s="52">
        <f t="shared" si="1"/>
        <v>32371844</v>
      </c>
      <c r="K13" s="52">
        <f t="shared" si="1"/>
        <v>32742430</v>
      </c>
      <c r="L13" s="52">
        <f t="shared" si="1"/>
        <v>35147286</v>
      </c>
      <c r="M13" s="52">
        <f>SUM(M5:M12)</f>
        <v>32088146</v>
      </c>
      <c r="N13" s="52">
        <f>SUM(B13:M13)</f>
        <v>428650946</v>
      </c>
      <c r="O13" s="63">
        <f>SUM(O5:O12)</f>
        <v>428650946</v>
      </c>
      <c r="P13" s="70"/>
    </row>
    <row r="15" spans="1:16" x14ac:dyDescent="0.25">
      <c r="K15" s="70"/>
      <c r="L15" s="70"/>
      <c r="M15" s="70"/>
      <c r="N15" s="70"/>
    </row>
    <row r="17" spans="12:12" x14ac:dyDescent="0.25">
      <c r="L17" s="70"/>
    </row>
  </sheetData>
  <mergeCells count="2">
    <mergeCell ref="A1:O1"/>
    <mergeCell ref="A2:O2"/>
  </mergeCells>
  <pageMargins left="0.70866141732283461" right="0.70866141732283461" top="0.74803149606299213" bottom="0.74803149606299213" header="0.31496062992125984" footer="0.31496062992125984"/>
  <pageSetup paperSize="9" scale="69" orientation="landscape" r:id="rId1"/>
  <headerFooter>
    <oddHeader>&amp;R5. sz. melléklet
Ft-ban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Munka19">
    <pageSetUpPr fitToPage="1"/>
  </sheetPr>
  <dimension ref="A1:Q23"/>
  <sheetViews>
    <sheetView zoomScaleNormal="100" workbookViewId="0">
      <selection activeCell="J21" sqref="J21"/>
    </sheetView>
  </sheetViews>
  <sheetFormatPr defaultColWidth="9.109375" defaultRowHeight="13.2" x14ac:dyDescent="0.25"/>
  <cols>
    <col min="1" max="1" width="19.88671875" style="5" customWidth="1"/>
    <col min="2" max="12" width="11.88671875" style="4" bestFit="1" customWidth="1"/>
    <col min="13" max="15" width="12.88671875" style="4" bestFit="1" customWidth="1"/>
    <col min="16" max="16" width="9.109375" style="4" bestFit="1" customWidth="1"/>
    <col min="17" max="16384" width="9.109375" style="4"/>
  </cols>
  <sheetData>
    <row r="1" spans="1:17" ht="18" x14ac:dyDescent="0.25">
      <c r="A1" s="499" t="s">
        <v>59</v>
      </c>
      <c r="B1" s="499"/>
      <c r="C1" s="499"/>
      <c r="D1" s="499"/>
      <c r="E1" s="499"/>
      <c r="F1" s="499"/>
      <c r="G1" s="499"/>
      <c r="H1" s="499"/>
      <c r="I1" s="499"/>
      <c r="J1" s="499"/>
      <c r="K1" s="499"/>
      <c r="L1" s="499"/>
      <c r="M1" s="499"/>
      <c r="N1" s="499"/>
      <c r="O1" s="499"/>
    </row>
    <row r="2" spans="1:17" ht="18" x14ac:dyDescent="0.25">
      <c r="A2" s="529" t="s">
        <v>487</v>
      </c>
      <c r="B2" s="529"/>
      <c r="C2" s="529"/>
      <c r="D2" s="529"/>
      <c r="E2" s="529"/>
      <c r="F2" s="529"/>
      <c r="G2" s="529"/>
      <c r="H2" s="529"/>
      <c r="I2" s="529"/>
      <c r="J2" s="529"/>
      <c r="K2" s="529"/>
      <c r="L2" s="529"/>
      <c r="M2" s="529"/>
      <c r="N2" s="529"/>
      <c r="O2" s="529"/>
    </row>
    <row r="3" spans="1:17" ht="16.8" x14ac:dyDescent="0.3">
      <c r="A3" s="14"/>
    </row>
    <row r="4" spans="1:17" s="5" customFormat="1" ht="14.4" x14ac:dyDescent="0.25">
      <c r="A4" s="296" t="s">
        <v>54</v>
      </c>
      <c r="B4" s="296" t="s">
        <v>461</v>
      </c>
      <c r="C4" s="296" t="s">
        <v>462</v>
      </c>
      <c r="D4" s="296" t="s">
        <v>463</v>
      </c>
      <c r="E4" s="296" t="s">
        <v>442</v>
      </c>
      <c r="F4" s="296" t="s">
        <v>464</v>
      </c>
      <c r="G4" s="296" t="s">
        <v>465</v>
      </c>
      <c r="H4" s="296" t="s">
        <v>466</v>
      </c>
      <c r="I4" s="296" t="s">
        <v>467</v>
      </c>
      <c r="J4" s="296" t="s">
        <v>443</v>
      </c>
      <c r="K4" s="296" t="s">
        <v>468</v>
      </c>
      <c r="L4" s="296" t="s">
        <v>444</v>
      </c>
      <c r="M4" s="296" t="s">
        <v>445</v>
      </c>
      <c r="N4" s="296" t="s">
        <v>20</v>
      </c>
      <c r="O4" s="296" t="s">
        <v>469</v>
      </c>
    </row>
    <row r="5" spans="1:17" ht="14.4" x14ac:dyDescent="0.25">
      <c r="A5" s="185" t="s">
        <v>36</v>
      </c>
      <c r="B5" s="325">
        <v>16201219</v>
      </c>
      <c r="C5" s="325">
        <v>16201219</v>
      </c>
      <c r="D5" s="325">
        <v>16201219</v>
      </c>
      <c r="E5" s="325">
        <v>16201219</v>
      </c>
      <c r="F5" s="325">
        <v>16201219</v>
      </c>
      <c r="G5" s="325">
        <v>16201219</v>
      </c>
      <c r="H5" s="325">
        <v>16201219</v>
      </c>
      <c r="I5" s="325">
        <v>16201219</v>
      </c>
      <c r="J5" s="325">
        <v>16201219</v>
      </c>
      <c r="K5" s="325">
        <v>16201219</v>
      </c>
      <c r="L5" s="325">
        <v>16201219</v>
      </c>
      <c r="M5" s="325">
        <v>16201218</v>
      </c>
      <c r="N5" s="62">
        <f>SUM(B5:M5)</f>
        <v>194414627</v>
      </c>
      <c r="O5" s="63">
        <f>('3).Kiadások összesen'!G4)</f>
        <v>194414627</v>
      </c>
      <c r="P5" s="163"/>
    </row>
    <row r="6" spans="1:17" ht="28.8" x14ac:dyDescent="0.25">
      <c r="A6" s="185" t="s">
        <v>413</v>
      </c>
      <c r="B6" s="325">
        <v>2644625</v>
      </c>
      <c r="C6" s="325">
        <v>2644625</v>
      </c>
      <c r="D6" s="325">
        <v>2644625</v>
      </c>
      <c r="E6" s="325">
        <v>2644625</v>
      </c>
      <c r="F6" s="325">
        <v>2644625</v>
      </c>
      <c r="G6" s="325">
        <v>2644625</v>
      </c>
      <c r="H6" s="325">
        <v>2644625</v>
      </c>
      <c r="I6" s="325">
        <v>2644625</v>
      </c>
      <c r="J6" s="325">
        <v>2644625</v>
      </c>
      <c r="K6" s="325">
        <v>2644625</v>
      </c>
      <c r="L6" s="325">
        <v>2644625</v>
      </c>
      <c r="M6" s="325">
        <v>2644621</v>
      </c>
      <c r="N6" s="62">
        <f t="shared" ref="N6:N11" si="0">SUM(B6:M6)</f>
        <v>31735496</v>
      </c>
      <c r="O6" s="63">
        <f>('3).Kiadások összesen'!G5)</f>
        <v>31735495.75</v>
      </c>
      <c r="P6" s="163"/>
    </row>
    <row r="7" spans="1:17" ht="14.4" x14ac:dyDescent="0.25">
      <c r="A7" s="185" t="s">
        <v>37</v>
      </c>
      <c r="B7" s="325">
        <v>7118750</v>
      </c>
      <c r="C7" s="325">
        <v>7118750</v>
      </c>
      <c r="D7" s="325">
        <v>7118750</v>
      </c>
      <c r="E7" s="325">
        <v>7118750</v>
      </c>
      <c r="F7" s="325">
        <v>7118750</v>
      </c>
      <c r="G7" s="325">
        <v>7118750</v>
      </c>
      <c r="H7" s="325">
        <v>7118750</v>
      </c>
      <c r="I7" s="325">
        <v>7118750</v>
      </c>
      <c r="J7" s="325">
        <v>7118750</v>
      </c>
      <c r="K7" s="325">
        <v>7118750</v>
      </c>
      <c r="L7" s="325">
        <v>7118750</v>
      </c>
      <c r="M7" s="325">
        <v>7118750</v>
      </c>
      <c r="N7" s="62">
        <f t="shared" si="0"/>
        <v>85425000</v>
      </c>
      <c r="O7" s="63">
        <f>('3).Kiadások összesen'!G6)</f>
        <v>85425000</v>
      </c>
      <c r="P7" s="163"/>
    </row>
    <row r="8" spans="1:17" ht="28.8" x14ac:dyDescent="0.25">
      <c r="A8" s="185" t="s">
        <v>125</v>
      </c>
      <c r="B8" s="325">
        <v>233333</v>
      </c>
      <c r="C8" s="325">
        <v>233333</v>
      </c>
      <c r="D8" s="325">
        <v>233333</v>
      </c>
      <c r="E8" s="325">
        <v>233333</v>
      </c>
      <c r="F8" s="325">
        <v>233333</v>
      </c>
      <c r="G8" s="325">
        <v>233333</v>
      </c>
      <c r="H8" s="325">
        <v>233333</v>
      </c>
      <c r="I8" s="325">
        <v>233333</v>
      </c>
      <c r="J8" s="325">
        <v>233333</v>
      </c>
      <c r="K8" s="325">
        <v>233333</v>
      </c>
      <c r="L8" s="325">
        <v>233333</v>
      </c>
      <c r="M8" s="325">
        <v>233337</v>
      </c>
      <c r="N8" s="62">
        <f t="shared" si="0"/>
        <v>2800000</v>
      </c>
      <c r="O8" s="63">
        <f>('3).Kiadások összesen'!G10)</f>
        <v>2800000</v>
      </c>
      <c r="P8" s="163"/>
    </row>
    <row r="9" spans="1:17" ht="28.8" x14ac:dyDescent="0.25">
      <c r="A9" s="185" t="s">
        <v>132</v>
      </c>
      <c r="B9" s="325">
        <v>169795</v>
      </c>
      <c r="C9" s="325">
        <v>169795</v>
      </c>
      <c r="D9" s="325">
        <v>169795</v>
      </c>
      <c r="E9" s="325">
        <v>169795</v>
      </c>
      <c r="F9" s="325">
        <v>169795</v>
      </c>
      <c r="G9" s="325">
        <v>169795</v>
      </c>
      <c r="H9" s="325">
        <v>169795</v>
      </c>
      <c r="I9" s="325">
        <v>169795</v>
      </c>
      <c r="J9" s="325">
        <v>169795</v>
      </c>
      <c r="K9" s="325">
        <v>169795</v>
      </c>
      <c r="L9" s="325">
        <v>169795</v>
      </c>
      <c r="M9" s="325">
        <v>169795</v>
      </c>
      <c r="N9" s="62">
        <f>SUM(B9:M9)</f>
        <v>2037540</v>
      </c>
      <c r="O9" s="63">
        <f>('3).Kiadások összesen'!G16)-('3).Kiadások összesen'!G15)</f>
        <v>2037540</v>
      </c>
      <c r="P9" s="163"/>
    </row>
    <row r="10" spans="1:17" ht="14.4" x14ac:dyDescent="0.25">
      <c r="A10" s="185" t="s">
        <v>35</v>
      </c>
      <c r="B10" s="325">
        <v>1336315</v>
      </c>
      <c r="C10" s="325">
        <v>1336315</v>
      </c>
      <c r="D10" s="325">
        <v>1336315</v>
      </c>
      <c r="E10" s="325">
        <v>1336315</v>
      </c>
      <c r="F10" s="325">
        <v>1336315</v>
      </c>
      <c r="G10" s="325">
        <v>1336315</v>
      </c>
      <c r="H10" s="325">
        <v>1336315</v>
      </c>
      <c r="I10" s="325">
        <v>1336315</v>
      </c>
      <c r="J10" s="325">
        <v>1336315</v>
      </c>
      <c r="K10" s="325">
        <v>1336315</v>
      </c>
      <c r="L10" s="325">
        <v>1336315</v>
      </c>
      <c r="M10" s="325">
        <v>1336319</v>
      </c>
      <c r="N10" s="62">
        <f t="shared" si="0"/>
        <v>16035784</v>
      </c>
      <c r="O10" s="63">
        <f>('3).Kiadások összesen'!G20)</f>
        <v>16035784</v>
      </c>
      <c r="P10" s="163"/>
    </row>
    <row r="11" spans="1:17" ht="14.4" x14ac:dyDescent="0.25">
      <c r="A11" s="185" t="s">
        <v>38</v>
      </c>
      <c r="B11" s="325">
        <v>12993001</v>
      </c>
      <c r="C11" s="325">
        <v>12993001</v>
      </c>
      <c r="D11" s="325">
        <v>12993001</v>
      </c>
      <c r="E11" s="325">
        <v>12993001</v>
      </c>
      <c r="F11" s="325">
        <v>12993001</v>
      </c>
      <c r="G11" s="325">
        <v>12993001</v>
      </c>
      <c r="H11" s="325">
        <v>12993001</v>
      </c>
      <c r="I11" s="325">
        <v>12993001</v>
      </c>
      <c r="J11" s="325">
        <v>12993001</v>
      </c>
      <c r="K11" s="325">
        <v>12993001</v>
      </c>
      <c r="L11" s="325">
        <v>12993001</v>
      </c>
      <c r="M11" s="325">
        <v>12993004</v>
      </c>
      <c r="N11" s="62">
        <f t="shared" si="0"/>
        <v>155916015</v>
      </c>
      <c r="O11" s="63">
        <f>('3).Kiadások összesen'!G23)</f>
        <v>155916015</v>
      </c>
      <c r="P11" s="163"/>
    </row>
    <row r="12" spans="1:17" ht="28.8" x14ac:dyDescent="0.25">
      <c r="A12" s="185" t="s">
        <v>136</v>
      </c>
      <c r="B12" s="325"/>
      <c r="C12" s="325"/>
      <c r="D12" s="325"/>
      <c r="E12" s="325"/>
      <c r="F12" s="325"/>
      <c r="G12" s="325"/>
      <c r="H12" s="325"/>
      <c r="I12" s="325">
        <v>52616</v>
      </c>
      <c r="J12" s="325"/>
      <c r="K12" s="325"/>
      <c r="L12" s="325"/>
      <c r="M12" s="325"/>
      <c r="N12" s="62">
        <f>SUM(B12:M12)</f>
        <v>52616</v>
      </c>
      <c r="O12" s="63">
        <f>('3).Kiadások összesen'!G26)</f>
        <v>52616</v>
      </c>
      <c r="P12" s="163"/>
    </row>
    <row r="13" spans="1:17" ht="14.4" x14ac:dyDescent="0.25">
      <c r="A13" s="185" t="s">
        <v>332</v>
      </c>
      <c r="B13" s="325"/>
      <c r="C13" s="325"/>
      <c r="D13" s="325"/>
      <c r="E13" s="325"/>
      <c r="F13" s="325"/>
      <c r="G13" s="325"/>
      <c r="H13" s="325"/>
      <c r="I13" s="325"/>
      <c r="J13" s="325"/>
      <c r="K13" s="325"/>
      <c r="L13" s="325"/>
      <c r="M13" s="325">
        <v>39459908</v>
      </c>
      <c r="N13" s="62">
        <f>SUM(B13:M13)</f>
        <v>39459908</v>
      </c>
      <c r="O13" s="63">
        <f>('3).Kiadások összesen'!G15)</f>
        <v>39459908</v>
      </c>
      <c r="P13" s="163"/>
    </row>
    <row r="14" spans="1:17" s="5" customFormat="1" ht="14.4" x14ac:dyDescent="0.25">
      <c r="A14" s="283" t="s">
        <v>1</v>
      </c>
      <c r="B14" s="88">
        <f t="shared" ref="B14:L14" si="1">SUM(B5:B12)</f>
        <v>40697038</v>
      </c>
      <c r="C14" s="88">
        <f t="shared" si="1"/>
        <v>40697038</v>
      </c>
      <c r="D14" s="88">
        <f t="shared" si="1"/>
        <v>40697038</v>
      </c>
      <c r="E14" s="88">
        <f t="shared" si="1"/>
        <v>40697038</v>
      </c>
      <c r="F14" s="88">
        <f t="shared" si="1"/>
        <v>40697038</v>
      </c>
      <c r="G14" s="88">
        <f t="shared" si="1"/>
        <v>40697038</v>
      </c>
      <c r="H14" s="88">
        <f t="shared" si="1"/>
        <v>40697038</v>
      </c>
      <c r="I14" s="88">
        <f t="shared" si="1"/>
        <v>40749654</v>
      </c>
      <c r="J14" s="88">
        <f t="shared" si="1"/>
        <v>40697038</v>
      </c>
      <c r="K14" s="88">
        <f t="shared" si="1"/>
        <v>40697038</v>
      </c>
      <c r="L14" s="88">
        <f t="shared" si="1"/>
        <v>40697038</v>
      </c>
      <c r="M14" s="88">
        <f>SUM(M5:M13)</f>
        <v>80156952</v>
      </c>
      <c r="N14" s="88">
        <f>SUM(N5:N13)</f>
        <v>527876986</v>
      </c>
      <c r="O14" s="89">
        <f>('3).Kiadások összesen'!G27)</f>
        <v>527876985.75</v>
      </c>
      <c r="P14" s="245"/>
      <c r="Q14" s="90"/>
    </row>
    <row r="17" spans="8:14" x14ac:dyDescent="0.25">
      <c r="J17" s="70"/>
    </row>
    <row r="18" spans="8:14" x14ac:dyDescent="0.25">
      <c r="H18" s="70"/>
      <c r="M18" s="70"/>
    </row>
    <row r="19" spans="8:14" x14ac:dyDescent="0.25">
      <c r="J19" s="70"/>
      <c r="L19" s="70"/>
      <c r="M19" s="70"/>
      <c r="N19" s="70"/>
    </row>
    <row r="20" spans="8:14" x14ac:dyDescent="0.25">
      <c r="L20" s="70"/>
    </row>
    <row r="21" spans="8:14" x14ac:dyDescent="0.25">
      <c r="H21" s="70"/>
    </row>
    <row r="22" spans="8:14" x14ac:dyDescent="0.25">
      <c r="I22" s="70"/>
      <c r="J22" s="70"/>
      <c r="M22" s="70"/>
    </row>
    <row r="23" spans="8:14" x14ac:dyDescent="0.25">
      <c r="H23" s="70"/>
    </row>
  </sheetData>
  <mergeCells count="2">
    <mergeCell ref="A1:O1"/>
    <mergeCell ref="A2:O2"/>
  </mergeCells>
  <pageMargins left="0.70866141732283461" right="0.70866141732283461" top="0.74803149606299213" bottom="0.74803149606299213" header="0.31496062992125984" footer="0.31496062992125984"/>
  <pageSetup paperSize="9" scale="70" orientation="landscape" r:id="rId1"/>
  <headerFooter>
    <oddHeader>&amp;R6. sz. melléklet
Ft-ban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Munka21">
    <tabColor theme="5" tint="0.39997558519241921"/>
    <pageSetUpPr fitToPage="1"/>
  </sheetPr>
  <dimension ref="B1:J20"/>
  <sheetViews>
    <sheetView topLeftCell="C1" zoomScale="70" zoomScaleNormal="70" workbookViewId="0">
      <selection activeCell="C10" sqref="C10"/>
    </sheetView>
  </sheetViews>
  <sheetFormatPr defaultColWidth="9.109375" defaultRowHeight="13.2" x14ac:dyDescent="0.25"/>
  <cols>
    <col min="1" max="1" width="13.109375" style="4" customWidth="1"/>
    <col min="2" max="2" width="31.88671875" style="4" customWidth="1"/>
    <col min="3" max="3" width="14.21875" style="4" bestFit="1" customWidth="1"/>
    <col min="4" max="4" width="14" style="4" customWidth="1"/>
    <col min="5" max="5" width="18.44140625" style="4" bestFit="1" customWidth="1"/>
    <col min="6" max="6" width="2.6640625" style="4" customWidth="1"/>
    <col min="7" max="7" width="30.88671875" style="4" customWidth="1"/>
    <col min="8" max="8" width="14.44140625" style="4" customWidth="1"/>
    <col min="9" max="9" width="14" style="4" customWidth="1"/>
    <col min="10" max="10" width="18.44140625" style="4" bestFit="1" customWidth="1"/>
    <col min="11" max="16384" width="9.109375" style="4"/>
  </cols>
  <sheetData>
    <row r="1" spans="2:10" ht="33" customHeight="1" x14ac:dyDescent="0.25">
      <c r="B1" s="517" t="s">
        <v>558</v>
      </c>
      <c r="C1" s="517"/>
      <c r="D1" s="517"/>
      <c r="E1" s="517"/>
      <c r="F1" s="517"/>
      <c r="G1" s="517"/>
      <c r="H1" s="517"/>
      <c r="I1" s="517"/>
      <c r="J1" s="517"/>
    </row>
    <row r="3" spans="2:10" ht="21.75" customHeight="1" x14ac:dyDescent="0.25">
      <c r="B3" s="681" t="s">
        <v>60</v>
      </c>
      <c r="C3" s="681"/>
      <c r="D3" s="681"/>
      <c r="E3" s="682"/>
      <c r="F3" s="433"/>
      <c r="G3" s="683" t="s">
        <v>61</v>
      </c>
      <c r="H3" s="681"/>
      <c r="I3" s="681"/>
      <c r="J3" s="681"/>
    </row>
    <row r="4" spans="2:10" ht="29.4" thickBot="1" x14ac:dyDescent="0.3">
      <c r="B4" s="206" t="s">
        <v>62</v>
      </c>
      <c r="C4" s="206" t="s">
        <v>63</v>
      </c>
      <c r="D4" s="206" t="s">
        <v>64</v>
      </c>
      <c r="E4" s="207" t="s">
        <v>20</v>
      </c>
      <c r="F4" s="208"/>
      <c r="G4" s="209" t="s">
        <v>62</v>
      </c>
      <c r="H4" s="206" t="s">
        <v>65</v>
      </c>
      <c r="I4" s="206" t="s">
        <v>66</v>
      </c>
      <c r="J4" s="206" t="s">
        <v>20</v>
      </c>
    </row>
    <row r="5" spans="2:10" ht="35.25" customHeight="1" x14ac:dyDescent="0.25">
      <c r="B5" s="137" t="s">
        <v>175</v>
      </c>
      <c r="C5" s="138">
        <f>'1).Bevételek összesen'!H13</f>
        <v>238671051</v>
      </c>
      <c r="D5" s="293"/>
      <c r="E5" s="139">
        <f>SUM(C5:D5)</f>
        <v>238671051</v>
      </c>
      <c r="F5" s="151"/>
      <c r="G5" s="153" t="s">
        <v>367</v>
      </c>
      <c r="H5" s="138">
        <f>('3).Kiadások összesen'!G4)</f>
        <v>194414627</v>
      </c>
      <c r="I5" s="293"/>
      <c r="J5" s="140">
        <f t="shared" ref="J5:J13" si="0">SUM(H5:I5)</f>
        <v>194414627</v>
      </c>
    </row>
    <row r="6" spans="2:10" ht="35.25" customHeight="1" x14ac:dyDescent="0.25">
      <c r="B6" s="185" t="s">
        <v>55</v>
      </c>
      <c r="C6" s="65">
        <f>('1).Bevételek összesen'!H21)</f>
        <v>55451596</v>
      </c>
      <c r="D6" s="282"/>
      <c r="E6" s="135">
        <f t="shared" ref="E6:E14" si="1">SUM(C6:D6)</f>
        <v>55451596</v>
      </c>
      <c r="F6" s="152"/>
      <c r="G6" s="154" t="s">
        <v>273</v>
      </c>
      <c r="H6" s="65">
        <f>('3).Kiadások összesen'!G5)</f>
        <v>31735495.75</v>
      </c>
      <c r="I6" s="282"/>
      <c r="J6" s="66">
        <f t="shared" si="0"/>
        <v>31735495.75</v>
      </c>
    </row>
    <row r="7" spans="2:10" ht="35.25" customHeight="1" x14ac:dyDescent="0.25">
      <c r="B7" s="185" t="s">
        <v>28</v>
      </c>
      <c r="C7" s="65">
        <f>('1).Bevételek összesen'!H22)</f>
        <v>22455500</v>
      </c>
      <c r="D7" s="282"/>
      <c r="E7" s="135">
        <f t="shared" si="1"/>
        <v>22455500</v>
      </c>
      <c r="F7" s="152"/>
      <c r="G7" s="154" t="s">
        <v>37</v>
      </c>
      <c r="H7" s="65">
        <f>('3).Kiadások összesen'!G6)</f>
        <v>85425000</v>
      </c>
      <c r="I7" s="282"/>
      <c r="J7" s="66">
        <f t="shared" si="0"/>
        <v>85425000</v>
      </c>
    </row>
    <row r="8" spans="2:10" ht="35.25" customHeight="1" x14ac:dyDescent="0.25">
      <c r="B8" s="185" t="s">
        <v>155</v>
      </c>
      <c r="C8" s="282"/>
      <c r="D8" s="65">
        <f>('1).Bevételek összesen'!H16)</f>
        <v>68479583</v>
      </c>
      <c r="E8" s="135">
        <f t="shared" si="1"/>
        <v>68479583</v>
      </c>
      <c r="F8" s="152"/>
      <c r="G8" s="154" t="s">
        <v>125</v>
      </c>
      <c r="H8" s="65">
        <f>('3).Kiadások összesen'!G10)</f>
        <v>2800000</v>
      </c>
      <c r="I8" s="282"/>
      <c r="J8" s="66">
        <f t="shared" si="0"/>
        <v>2800000</v>
      </c>
    </row>
    <row r="9" spans="2:10" ht="35.25" customHeight="1" x14ac:dyDescent="0.25">
      <c r="B9" s="185" t="s">
        <v>159</v>
      </c>
      <c r="C9" s="282"/>
      <c r="D9" s="65">
        <f>('1).Bevételek összesen'!H28)</f>
        <v>528700</v>
      </c>
      <c r="E9" s="135">
        <f t="shared" si="1"/>
        <v>528700</v>
      </c>
      <c r="F9" s="152"/>
      <c r="G9" s="154" t="s">
        <v>132</v>
      </c>
      <c r="H9" s="65">
        <f>('3).Kiadások összesen'!G16)-('3).Kiadások összesen'!G15)</f>
        <v>2037540</v>
      </c>
      <c r="I9" s="282"/>
      <c r="J9" s="66">
        <f t="shared" si="0"/>
        <v>2037540</v>
      </c>
    </row>
    <row r="10" spans="2:10" ht="35.25" customHeight="1" x14ac:dyDescent="0.25">
      <c r="B10" s="185" t="s">
        <v>419</v>
      </c>
      <c r="C10" s="282"/>
      <c r="D10" s="65">
        <f>('1).Bevételek összesen'!H25)</f>
        <v>7851428</v>
      </c>
      <c r="E10" s="135">
        <f t="shared" si="1"/>
        <v>7851428</v>
      </c>
      <c r="F10" s="152"/>
      <c r="G10" s="154" t="s">
        <v>332</v>
      </c>
      <c r="H10" s="65">
        <f>('3).Kiadások összesen'!G15)-I10</f>
        <v>1284031</v>
      </c>
      <c r="I10" s="205">
        <v>38175877</v>
      </c>
      <c r="J10" s="66">
        <f>SUM(H10:I10)</f>
        <v>39459908</v>
      </c>
    </row>
    <row r="11" spans="2:10" ht="35.25" customHeight="1" x14ac:dyDescent="0.25">
      <c r="B11" s="185" t="s">
        <v>351</v>
      </c>
      <c r="C11" s="282"/>
      <c r="D11" s="65">
        <f>('1).Bevételek összesen'!H30)</f>
        <v>35213088</v>
      </c>
      <c r="E11" s="135">
        <f t="shared" si="1"/>
        <v>35213088</v>
      </c>
      <c r="F11" s="152"/>
      <c r="G11" s="154" t="s">
        <v>35</v>
      </c>
      <c r="H11" s="282"/>
      <c r="I11" s="65">
        <f>('3).Kiadások összesen'!G20)</f>
        <v>16035784</v>
      </c>
      <c r="J11" s="66">
        <f t="shared" si="0"/>
        <v>16035784</v>
      </c>
    </row>
    <row r="12" spans="2:10" ht="35.25" customHeight="1" x14ac:dyDescent="0.3">
      <c r="B12" s="185"/>
      <c r="C12" s="282"/>
      <c r="D12" s="282"/>
      <c r="E12" s="64"/>
      <c r="F12" s="152"/>
      <c r="G12" s="154" t="s">
        <v>38</v>
      </c>
      <c r="H12" s="282"/>
      <c r="I12" s="65">
        <f>('3).Kiadások összesen'!G23)</f>
        <v>155916015</v>
      </c>
      <c r="J12" s="66">
        <f t="shared" si="0"/>
        <v>155916015</v>
      </c>
    </row>
    <row r="13" spans="2:10" ht="35.25" customHeight="1" x14ac:dyDescent="0.3">
      <c r="B13" s="185"/>
      <c r="C13" s="282"/>
      <c r="D13" s="282"/>
      <c r="E13" s="64"/>
      <c r="F13" s="152"/>
      <c r="G13" s="154" t="s">
        <v>136</v>
      </c>
      <c r="H13" s="282"/>
      <c r="I13" s="65">
        <f>('3).Kiadások összesen'!G26)</f>
        <v>52616</v>
      </c>
      <c r="J13" s="66">
        <f t="shared" si="0"/>
        <v>52616</v>
      </c>
    </row>
    <row r="14" spans="2:10" ht="35.25" customHeight="1" x14ac:dyDescent="0.25">
      <c r="B14" s="185" t="s">
        <v>167</v>
      </c>
      <c r="C14" s="65">
        <f>('1).Bevételek összesen'!H34)</f>
        <v>106004482</v>
      </c>
      <c r="D14" s="282"/>
      <c r="E14" s="135">
        <f t="shared" si="1"/>
        <v>106004482</v>
      </c>
      <c r="F14" s="152"/>
      <c r="G14" s="154" t="s">
        <v>138</v>
      </c>
      <c r="H14" s="65">
        <f>('3).Kiadások összesen'!G29)</f>
        <v>6778442</v>
      </c>
      <c r="I14" s="282"/>
      <c r="J14" s="66">
        <f>SUM(H14:I14)</f>
        <v>6778442</v>
      </c>
    </row>
    <row r="15" spans="2:10" ht="35.25" customHeight="1" thickBot="1" x14ac:dyDescent="0.3">
      <c r="B15" s="185" t="s">
        <v>67</v>
      </c>
      <c r="C15" s="66">
        <f>SUM(C5:C14)</f>
        <v>422582629</v>
      </c>
      <c r="D15" s="66">
        <f>SUM(D5:D14)</f>
        <v>112072799</v>
      </c>
      <c r="E15" s="136">
        <f>SUM(C15:D15)</f>
        <v>534655428</v>
      </c>
      <c r="F15" s="152"/>
      <c r="G15" s="154" t="s">
        <v>68</v>
      </c>
      <c r="H15" s="66">
        <f>SUM(H5:H14)</f>
        <v>324475135.75</v>
      </c>
      <c r="I15" s="66">
        <f>SUM(I5:I14)</f>
        <v>210180292</v>
      </c>
      <c r="J15" s="67">
        <f>SUM(J5:J14)</f>
        <v>534655427.75</v>
      </c>
    </row>
    <row r="16" spans="2:10" ht="15.6" thickTop="1" thickBot="1" x14ac:dyDescent="0.35">
      <c r="D16" s="85" t="s">
        <v>352</v>
      </c>
      <c r="E16" s="54">
        <f>('1).Bevételek összesen'!H35)</f>
        <v>534655428</v>
      </c>
      <c r="I16" s="85" t="s">
        <v>352</v>
      </c>
      <c r="J16" s="54">
        <f>('3).Kiadások összesen'!G30)</f>
        <v>534655427.75</v>
      </c>
    </row>
    <row r="17" spans="7:8" ht="13.8" thickTop="1" x14ac:dyDescent="0.25">
      <c r="G17" s="4" t="s">
        <v>418</v>
      </c>
      <c r="H17" s="70">
        <f>E16-J16</f>
        <v>0.25</v>
      </c>
    </row>
    <row r="20" spans="7:8" x14ac:dyDescent="0.25">
      <c r="H20" s="162"/>
    </row>
  </sheetData>
  <mergeCells count="3">
    <mergeCell ref="B1:J1"/>
    <mergeCell ref="B3:E3"/>
    <mergeCell ref="G3:J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7" orientation="landscape" r:id="rId1"/>
  <headerFooter>
    <oddHeader>&amp;R7. sz. melléklet
Ft-ban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Munka13">
    <pageSetUpPr fitToPage="1"/>
  </sheetPr>
  <dimension ref="A1:C11"/>
  <sheetViews>
    <sheetView zoomScaleNormal="100" workbookViewId="0">
      <selection activeCell="E19" sqref="E19"/>
    </sheetView>
  </sheetViews>
  <sheetFormatPr defaultRowHeight="13.2" x14ac:dyDescent="0.25"/>
  <cols>
    <col min="1" max="1" width="4" customWidth="1"/>
    <col min="2" max="2" width="49.33203125" customWidth="1"/>
  </cols>
  <sheetData>
    <row r="1" spans="1:3" ht="37.5" customHeight="1" x14ac:dyDescent="0.25">
      <c r="A1" s="607" t="s">
        <v>486</v>
      </c>
      <c r="B1" s="607"/>
      <c r="C1" s="607"/>
    </row>
    <row r="2" spans="1:3" ht="14.4" x14ac:dyDescent="0.25">
      <c r="A2" s="361"/>
      <c r="B2" s="361"/>
      <c r="C2" s="362"/>
    </row>
    <row r="3" spans="1:3" s="1" customFormat="1" ht="14.4" x14ac:dyDescent="0.25">
      <c r="A3" s="684" t="s">
        <v>69</v>
      </c>
      <c r="B3" s="684"/>
      <c r="C3" s="363"/>
    </row>
    <row r="4" spans="1:3" ht="14.4" x14ac:dyDescent="0.25">
      <c r="A4" s="361"/>
      <c r="B4" s="361"/>
      <c r="C4" s="362"/>
    </row>
    <row r="5" spans="1:3" ht="14.4" x14ac:dyDescent="0.25">
      <c r="A5" s="361" t="s">
        <v>70</v>
      </c>
      <c r="B5" s="361" t="s">
        <v>71</v>
      </c>
      <c r="C5" s="227">
        <v>0</v>
      </c>
    </row>
    <row r="6" spans="1:3" ht="14.4" x14ac:dyDescent="0.25">
      <c r="A6" s="361"/>
      <c r="B6" s="361"/>
      <c r="C6" s="362"/>
    </row>
    <row r="7" spans="1:3" s="1" customFormat="1" ht="14.4" x14ac:dyDescent="0.25">
      <c r="A7" s="684" t="s">
        <v>72</v>
      </c>
      <c r="B7" s="684"/>
      <c r="C7" s="363"/>
    </row>
    <row r="8" spans="1:3" ht="14.4" x14ac:dyDescent="0.25">
      <c r="A8" s="361"/>
      <c r="B8" s="361"/>
      <c r="C8" s="362"/>
    </row>
    <row r="9" spans="1:3" ht="28.8" x14ac:dyDescent="0.25">
      <c r="A9" s="361" t="s">
        <v>70</v>
      </c>
      <c r="B9" s="361" t="s">
        <v>73</v>
      </c>
      <c r="C9" s="227">
        <v>0</v>
      </c>
    </row>
    <row r="10" spans="1:3" ht="14.4" x14ac:dyDescent="0.25">
      <c r="A10" s="282"/>
      <c r="B10" s="282"/>
      <c r="C10" s="125"/>
    </row>
    <row r="11" spans="1:3" s="1" customFormat="1" ht="14.4" x14ac:dyDescent="0.25">
      <c r="A11" s="571" t="s">
        <v>74</v>
      </c>
      <c r="B11" s="571"/>
      <c r="C11" s="123">
        <f>SUM(C5:C10)</f>
        <v>0</v>
      </c>
    </row>
  </sheetData>
  <mergeCells count="4">
    <mergeCell ref="A1:C1"/>
    <mergeCell ref="A3:B3"/>
    <mergeCell ref="A7:B7"/>
    <mergeCell ref="A11:B11"/>
  </mergeCells>
  <phoneticPr fontId="38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&amp;R8. sz. melléklet
Ft-ban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Munka14">
    <pageSetUpPr fitToPage="1"/>
  </sheetPr>
  <dimension ref="A1:F8"/>
  <sheetViews>
    <sheetView tabSelected="1" zoomScaleNormal="100" workbookViewId="0">
      <selection activeCell="C14" sqref="C14"/>
    </sheetView>
  </sheetViews>
  <sheetFormatPr defaultColWidth="8.88671875" defaultRowHeight="13.2" x14ac:dyDescent="0.25"/>
  <cols>
    <col min="1" max="1" width="9.5546875" customWidth="1"/>
    <col min="2" max="2" width="23.6640625" customWidth="1"/>
    <col min="3" max="6" width="10.33203125" customWidth="1"/>
  </cols>
  <sheetData>
    <row r="1" spans="1:6" ht="34.950000000000003" customHeight="1" x14ac:dyDescent="0.25">
      <c r="A1" s="607" t="s">
        <v>514</v>
      </c>
      <c r="B1" s="607"/>
      <c r="C1" s="607"/>
      <c r="D1" s="607"/>
      <c r="E1" s="607"/>
      <c r="F1" s="607"/>
    </row>
    <row r="2" spans="1:6" s="1" customFormat="1" ht="29.4" thickBot="1" x14ac:dyDescent="0.3">
      <c r="A2" s="194" t="s">
        <v>427</v>
      </c>
      <c r="B2" s="364" t="s">
        <v>77</v>
      </c>
      <c r="C2" s="194" t="s">
        <v>423</v>
      </c>
      <c r="D2" s="194" t="s">
        <v>424</v>
      </c>
      <c r="E2" s="194" t="s">
        <v>425</v>
      </c>
      <c r="F2" s="194" t="s">
        <v>485</v>
      </c>
    </row>
    <row r="3" spans="1:6" ht="14.4" x14ac:dyDescent="0.25">
      <c r="A3" s="184">
        <v>1</v>
      </c>
      <c r="B3" s="282" t="s">
        <v>75</v>
      </c>
      <c r="C3" s="325">
        <v>520000</v>
      </c>
      <c r="D3" s="325">
        <v>100000</v>
      </c>
      <c r="E3" s="325">
        <v>50000</v>
      </c>
      <c r="F3" s="325">
        <v>0</v>
      </c>
    </row>
    <row r="4" spans="1:6" ht="14.4" x14ac:dyDescent="0.25">
      <c r="A4" s="184">
        <v>2</v>
      </c>
      <c r="B4" s="282"/>
      <c r="C4" s="282"/>
      <c r="D4" s="282"/>
      <c r="E4" s="282"/>
      <c r="F4" s="282"/>
    </row>
    <row r="5" spans="1:6" ht="14.4" x14ac:dyDescent="0.25">
      <c r="A5" s="184">
        <v>3</v>
      </c>
      <c r="B5" s="282"/>
      <c r="C5" s="282"/>
      <c r="D5" s="282"/>
      <c r="E5" s="282"/>
      <c r="F5" s="282"/>
    </row>
    <row r="6" spans="1:6" ht="14.4" x14ac:dyDescent="0.25">
      <c r="A6" s="184">
        <v>4</v>
      </c>
      <c r="B6" s="282"/>
      <c r="C6" s="282"/>
      <c r="D6" s="282"/>
      <c r="E6" s="282"/>
      <c r="F6" s="282"/>
    </row>
    <row r="7" spans="1:6" ht="14.4" x14ac:dyDescent="0.25">
      <c r="A7" s="184">
        <v>5</v>
      </c>
      <c r="B7" s="282"/>
      <c r="C7" s="282"/>
      <c r="D7" s="282"/>
      <c r="E7" s="282"/>
      <c r="F7" s="282"/>
    </row>
    <row r="8" spans="1:6" s="1" customFormat="1" ht="16.5" customHeight="1" x14ac:dyDescent="0.25">
      <c r="A8" s="288">
        <v>11</v>
      </c>
      <c r="B8" s="155" t="s">
        <v>76</v>
      </c>
      <c r="C8" s="123">
        <f>SUM(C3:C7)</f>
        <v>520000</v>
      </c>
      <c r="D8" s="123">
        <f>SUM(D3:D7)</f>
        <v>100000</v>
      </c>
      <c r="E8" s="123">
        <f>SUM(E3:E7)</f>
        <v>50000</v>
      </c>
      <c r="F8" s="123">
        <f>SUM(F3:F7)</f>
        <v>0</v>
      </c>
    </row>
  </sheetData>
  <mergeCells count="1">
    <mergeCell ref="A1:F1"/>
  </mergeCells>
  <phoneticPr fontId="38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&amp;R9. sz. melléklet
Ft-ban</oddHeader>
  </headerFooter>
  <ignoredErrors>
    <ignoredError sqref="C8:F8" formulaRange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Munka15">
    <pageSetUpPr fitToPage="1"/>
  </sheetPr>
  <dimension ref="A1:F18"/>
  <sheetViews>
    <sheetView zoomScale="80" zoomScaleNormal="80" workbookViewId="0">
      <selection activeCell="H24" sqref="H24"/>
    </sheetView>
  </sheetViews>
  <sheetFormatPr defaultColWidth="30" defaultRowHeight="13.2" x14ac:dyDescent="0.25"/>
  <cols>
    <col min="1" max="1" width="31.6640625" customWidth="1"/>
    <col min="2" max="2" width="19.6640625" customWidth="1"/>
    <col min="3" max="3" width="20" customWidth="1"/>
    <col min="4" max="4" width="18.6640625" customWidth="1"/>
    <col min="5" max="5" width="16.21875" customWidth="1"/>
    <col min="6" max="6" width="21.44140625" customWidth="1"/>
  </cols>
  <sheetData>
    <row r="1" spans="1:6" ht="18" x14ac:dyDescent="0.25">
      <c r="A1" s="685" t="s">
        <v>597</v>
      </c>
      <c r="B1" s="686"/>
      <c r="C1" s="686"/>
      <c r="D1" s="686"/>
      <c r="E1" s="686"/>
      <c r="F1" s="686"/>
    </row>
    <row r="2" spans="1:6" ht="18" x14ac:dyDescent="0.25">
      <c r="A2" s="510" t="s">
        <v>484</v>
      </c>
      <c r="B2" s="511"/>
      <c r="C2" s="511"/>
      <c r="D2" s="511"/>
      <c r="E2" s="511"/>
      <c r="F2" s="511"/>
    </row>
    <row r="3" spans="1:6" x14ac:dyDescent="0.25">
      <c r="A3" s="3"/>
    </row>
    <row r="4" spans="1:6" ht="15" thickBot="1" x14ac:dyDescent="0.3">
      <c r="A4" s="194" t="s">
        <v>54</v>
      </c>
      <c r="B4" s="194" t="s">
        <v>48</v>
      </c>
      <c r="C4" s="194" t="s">
        <v>466</v>
      </c>
      <c r="D4" s="194" t="s">
        <v>443</v>
      </c>
      <c r="E4" s="194" t="s">
        <v>444</v>
      </c>
      <c r="F4" s="194" t="s">
        <v>445</v>
      </c>
    </row>
    <row r="5" spans="1:6" ht="14.4" x14ac:dyDescent="0.3">
      <c r="A5" s="85" t="s">
        <v>49</v>
      </c>
      <c r="B5" s="276">
        <v>50000</v>
      </c>
      <c r="C5" s="276">
        <v>0</v>
      </c>
      <c r="D5" s="276">
        <v>0</v>
      </c>
      <c r="E5" s="276">
        <v>0</v>
      </c>
      <c r="F5" s="276"/>
    </row>
    <row r="6" spans="1:6" ht="14.4" x14ac:dyDescent="0.3">
      <c r="A6" s="85" t="s">
        <v>415</v>
      </c>
      <c r="B6" s="276">
        <v>1200000</v>
      </c>
      <c r="C6" s="276">
        <v>300000</v>
      </c>
      <c r="D6" s="276">
        <v>600000</v>
      </c>
      <c r="E6" s="276">
        <v>900000</v>
      </c>
      <c r="F6" s="276"/>
    </row>
    <row r="7" spans="1:6" ht="14.4" x14ac:dyDescent="0.3">
      <c r="A7" s="85" t="s">
        <v>50</v>
      </c>
      <c r="B7" s="276">
        <v>250000</v>
      </c>
      <c r="C7" s="276">
        <v>0</v>
      </c>
      <c r="D7" s="276">
        <v>150000</v>
      </c>
      <c r="E7" s="276">
        <v>150000</v>
      </c>
      <c r="F7" s="276"/>
    </row>
    <row r="8" spans="1:6" ht="14.4" x14ac:dyDescent="0.3">
      <c r="A8" s="85" t="s">
        <v>51</v>
      </c>
      <c r="B8" s="276">
        <v>1100000</v>
      </c>
      <c r="C8" s="276">
        <v>0</v>
      </c>
      <c r="D8" s="276">
        <v>0</v>
      </c>
      <c r="E8" s="276">
        <v>0</v>
      </c>
      <c r="F8" s="276"/>
    </row>
    <row r="9" spans="1:6" ht="14.4" x14ac:dyDescent="0.3">
      <c r="A9" s="85" t="s">
        <v>52</v>
      </c>
      <c r="B9" s="276">
        <v>200000</v>
      </c>
      <c r="C9" s="276">
        <v>0</v>
      </c>
      <c r="D9" s="276">
        <v>100000</v>
      </c>
      <c r="E9" s="276">
        <v>100000</v>
      </c>
      <c r="F9" s="276"/>
    </row>
    <row r="10" spans="1:6" ht="14.4" x14ac:dyDescent="0.3">
      <c r="A10" s="85" t="s">
        <v>416</v>
      </c>
      <c r="B10" s="276">
        <v>200000</v>
      </c>
      <c r="C10" s="276">
        <v>0</v>
      </c>
      <c r="D10" s="276">
        <v>100000</v>
      </c>
      <c r="E10" s="276">
        <v>100000</v>
      </c>
      <c r="F10" s="276"/>
    </row>
    <row r="11" spans="1:6" ht="14.4" x14ac:dyDescent="0.3">
      <c r="A11" s="85" t="s">
        <v>53</v>
      </c>
      <c r="B11" s="277">
        <v>150000</v>
      </c>
      <c r="C11" s="277">
        <v>0</v>
      </c>
      <c r="D11" s="277">
        <v>75000</v>
      </c>
      <c r="E11" s="277">
        <v>75000</v>
      </c>
      <c r="F11" s="277"/>
    </row>
    <row r="12" spans="1:6" ht="14.4" x14ac:dyDescent="0.3">
      <c r="A12" s="85" t="s">
        <v>537</v>
      </c>
      <c r="B12" s="276">
        <v>150000</v>
      </c>
      <c r="C12" s="276">
        <v>0</v>
      </c>
      <c r="D12" s="276">
        <v>0</v>
      </c>
      <c r="E12" s="276">
        <v>0</v>
      </c>
      <c r="F12" s="276"/>
    </row>
    <row r="13" spans="1:6" s="1" customFormat="1" ht="14.4" x14ac:dyDescent="0.3">
      <c r="A13" s="86" t="s">
        <v>1</v>
      </c>
      <c r="B13" s="87">
        <f>SUM(B5:B12)</f>
        <v>3300000</v>
      </c>
      <c r="C13" s="87">
        <f>SUM(C5:C12)</f>
        <v>300000</v>
      </c>
      <c r="D13" s="87">
        <f>SUM(D5:D12)</f>
        <v>1025000</v>
      </c>
      <c r="E13" s="87">
        <f>SUM(E5:E12)</f>
        <v>1325000</v>
      </c>
      <c r="F13" s="87">
        <f>SUM(F5:F11)</f>
        <v>0</v>
      </c>
    </row>
    <row r="15" spans="1:6" ht="14.4" x14ac:dyDescent="0.25">
      <c r="A15" s="68"/>
    </row>
    <row r="16" spans="1:6" x14ac:dyDescent="0.25">
      <c r="A16" s="3"/>
    </row>
    <row r="18" spans="4:4" x14ac:dyDescent="0.25">
      <c r="D18" s="15"/>
    </row>
  </sheetData>
  <mergeCells count="2">
    <mergeCell ref="A1:F1"/>
    <mergeCell ref="A2:F2"/>
  </mergeCells>
  <phoneticPr fontId="38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&amp;R10. sz. melléklet
Ft-ban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4">
    <pageSetUpPr fitToPage="1"/>
  </sheetPr>
  <dimension ref="A1:J81"/>
  <sheetViews>
    <sheetView zoomScale="60" zoomScaleNormal="60" workbookViewId="0">
      <selection activeCell="F78" sqref="F78"/>
    </sheetView>
  </sheetViews>
  <sheetFormatPr defaultColWidth="9.109375" defaultRowHeight="13.2" x14ac:dyDescent="0.25"/>
  <cols>
    <col min="1" max="1" width="78.33203125" style="299" customWidth="1"/>
    <col min="2" max="2" width="18.88671875" style="318" customWidth="1"/>
    <col min="3" max="3" width="16.77734375" style="318" bestFit="1" customWidth="1"/>
    <col min="4" max="4" width="16.77734375" style="299" bestFit="1" customWidth="1"/>
    <col min="5" max="5" width="16.77734375" style="299" customWidth="1"/>
    <col min="6" max="6" width="14" style="299" bestFit="1" customWidth="1"/>
    <col min="7" max="7" width="9.109375" style="299" customWidth="1"/>
    <col min="8" max="16384" width="9.109375" style="299"/>
  </cols>
  <sheetData>
    <row r="1" spans="1:6" ht="18" x14ac:dyDescent="0.25">
      <c r="A1" s="526" t="s">
        <v>496</v>
      </c>
      <c r="B1" s="526"/>
      <c r="C1" s="526"/>
      <c r="D1" s="526"/>
      <c r="E1" s="526"/>
      <c r="F1" s="526"/>
    </row>
    <row r="2" spans="1:6" ht="15.6" x14ac:dyDescent="0.25">
      <c r="A2" s="300"/>
      <c r="B2" s="301"/>
      <c r="C2" s="396"/>
      <c r="D2" s="300"/>
      <c r="E2" s="300"/>
      <c r="F2" s="300"/>
    </row>
    <row r="3" spans="1:6" ht="31.2" x14ac:dyDescent="0.25">
      <c r="A3" s="302" t="s">
        <v>21</v>
      </c>
      <c r="B3" s="303" t="s">
        <v>483</v>
      </c>
      <c r="C3" s="302" t="s">
        <v>466</v>
      </c>
      <c r="D3" s="302" t="s">
        <v>443</v>
      </c>
      <c r="E3" s="302" t="s">
        <v>444</v>
      </c>
      <c r="F3" s="302" t="s">
        <v>445</v>
      </c>
    </row>
    <row r="4" spans="1:6" ht="15.6" x14ac:dyDescent="0.25">
      <c r="A4" s="304" t="s">
        <v>112</v>
      </c>
      <c r="B4" s="383">
        <v>43818000</v>
      </c>
      <c r="C4" s="383">
        <v>43818000</v>
      </c>
      <c r="D4" s="452">
        <v>43818000</v>
      </c>
      <c r="E4" s="452">
        <v>43818000</v>
      </c>
      <c r="F4" s="305"/>
    </row>
    <row r="5" spans="1:6" s="309" customFormat="1" ht="28.8" x14ac:dyDescent="0.25">
      <c r="A5" s="306" t="s">
        <v>391</v>
      </c>
      <c r="B5" s="307">
        <f>B4</f>
        <v>43818000</v>
      </c>
      <c r="C5" s="307">
        <f>SUM(C4)</f>
        <v>43818000</v>
      </c>
      <c r="D5" s="307">
        <f>SUM(D4)</f>
        <v>43818000</v>
      </c>
      <c r="E5" s="307">
        <f>SUM(E4)</f>
        <v>43818000</v>
      </c>
      <c r="F5" s="308"/>
    </row>
    <row r="6" spans="1:6" ht="15.6" x14ac:dyDescent="0.25">
      <c r="A6" s="310" t="s">
        <v>113</v>
      </c>
      <c r="B6" s="383">
        <v>4722480</v>
      </c>
      <c r="C6" s="383">
        <v>4722480</v>
      </c>
      <c r="D6" s="451">
        <v>4722480</v>
      </c>
      <c r="E6" s="485">
        <v>4722480</v>
      </c>
      <c r="F6" s="305"/>
    </row>
    <row r="7" spans="1:6" ht="15.6" x14ac:dyDescent="0.25">
      <c r="A7" s="304" t="s">
        <v>114</v>
      </c>
      <c r="B7" s="383">
        <v>6240000</v>
      </c>
      <c r="C7" s="383">
        <v>6240000</v>
      </c>
      <c r="D7" s="451">
        <v>6240000</v>
      </c>
      <c r="E7" s="485">
        <v>6240000</v>
      </c>
      <c r="F7" s="305"/>
    </row>
    <row r="8" spans="1:6" ht="15.6" x14ac:dyDescent="0.25">
      <c r="A8" s="304" t="s">
        <v>192</v>
      </c>
      <c r="B8" s="383">
        <v>3142329</v>
      </c>
      <c r="C8" s="383">
        <v>3142329</v>
      </c>
      <c r="D8" s="451">
        <v>3142329</v>
      </c>
      <c r="E8" s="485">
        <v>3142329</v>
      </c>
      <c r="F8" s="305"/>
    </row>
    <row r="9" spans="1:6" ht="15.6" x14ac:dyDescent="0.25">
      <c r="A9" s="304" t="s">
        <v>115</v>
      </c>
      <c r="B9" s="383">
        <v>4253980</v>
      </c>
      <c r="C9" s="383">
        <v>4253980</v>
      </c>
      <c r="D9" s="451">
        <v>4253980</v>
      </c>
      <c r="E9" s="485">
        <v>4253980</v>
      </c>
      <c r="F9" s="305"/>
    </row>
    <row r="10" spans="1:6" s="309" customFormat="1" ht="15.6" x14ac:dyDescent="0.25">
      <c r="A10" s="306" t="s">
        <v>22</v>
      </c>
      <c r="B10" s="307">
        <f>SUM(B6:B9)</f>
        <v>18358789</v>
      </c>
      <c r="C10" s="307">
        <f>SUM(C6:C9)</f>
        <v>18358789</v>
      </c>
      <c r="D10" s="307">
        <f>SUM(D6:D9)</f>
        <v>18358789</v>
      </c>
      <c r="E10" s="307">
        <f>SUM(E6:E9)</f>
        <v>18358789</v>
      </c>
      <c r="F10" s="308"/>
    </row>
    <row r="11" spans="1:6" ht="15.6" x14ac:dyDescent="0.25">
      <c r="A11" s="304" t="s">
        <v>116</v>
      </c>
      <c r="B11" s="383">
        <v>8137800</v>
      </c>
      <c r="C11" s="383">
        <v>8137800</v>
      </c>
      <c r="D11" s="451">
        <v>8137800</v>
      </c>
      <c r="E11" s="485">
        <v>8137800</v>
      </c>
      <c r="F11" s="305"/>
    </row>
    <row r="12" spans="1:6" ht="15.6" x14ac:dyDescent="0.25">
      <c r="A12" s="304" t="s">
        <v>191</v>
      </c>
      <c r="B12" s="383">
        <v>58650</v>
      </c>
      <c r="C12" s="383">
        <v>58650</v>
      </c>
      <c r="D12" s="451">
        <v>58650</v>
      </c>
      <c r="E12" s="485">
        <v>58650</v>
      </c>
      <c r="F12" s="305"/>
    </row>
    <row r="13" spans="1:6" ht="15.6" x14ac:dyDescent="0.25">
      <c r="A13" s="304" t="s">
        <v>390</v>
      </c>
      <c r="B13" s="383">
        <v>840800</v>
      </c>
      <c r="C13" s="383">
        <v>840800</v>
      </c>
      <c r="D13" s="451">
        <v>840800</v>
      </c>
      <c r="E13" s="485">
        <v>840800</v>
      </c>
      <c r="F13" s="305"/>
    </row>
    <row r="14" spans="1:6" ht="22.2" customHeight="1" x14ac:dyDescent="0.25">
      <c r="A14" s="422" t="s">
        <v>556</v>
      </c>
      <c r="B14" s="311">
        <f>SUM(B10:B13)+B5</f>
        <v>71214039</v>
      </c>
      <c r="C14" s="311">
        <f>SUM(C10:C13)+C5</f>
        <v>71214039</v>
      </c>
      <c r="D14" s="311">
        <f>SUM(D10:D13)+D5</f>
        <v>71214039</v>
      </c>
      <c r="E14" s="311">
        <f>SUM(E10:E13)+E5</f>
        <v>71214039</v>
      </c>
      <c r="F14" s="312"/>
    </row>
    <row r="15" spans="1:6" ht="15.6" x14ac:dyDescent="0.25">
      <c r="A15" s="313"/>
      <c r="B15" s="314"/>
      <c r="C15" s="314"/>
      <c r="D15" s="315"/>
      <c r="E15" s="316"/>
      <c r="F15" s="317"/>
    </row>
    <row r="16" spans="1:6" ht="15.6" x14ac:dyDescent="0.25">
      <c r="A16" s="304" t="s">
        <v>23</v>
      </c>
      <c r="B16" s="383">
        <v>30600500</v>
      </c>
      <c r="C16" s="383">
        <v>30600500</v>
      </c>
      <c r="D16" s="451">
        <v>30600500</v>
      </c>
      <c r="E16" s="452">
        <v>30163350</v>
      </c>
      <c r="F16" s="305"/>
    </row>
    <row r="17" spans="1:10" ht="28.8" x14ac:dyDescent="0.25">
      <c r="A17" s="304" t="s">
        <v>190</v>
      </c>
      <c r="B17" s="383">
        <v>9600000</v>
      </c>
      <c r="C17" s="383">
        <v>9600000</v>
      </c>
      <c r="D17" s="451">
        <v>9600000</v>
      </c>
      <c r="E17" s="452">
        <v>8160000</v>
      </c>
      <c r="F17" s="305"/>
    </row>
    <row r="18" spans="1:10" ht="28.8" x14ac:dyDescent="0.25">
      <c r="A18" s="306" t="s">
        <v>119</v>
      </c>
      <c r="B18" s="307">
        <f>SUM(B16:B17)</f>
        <v>40200500</v>
      </c>
      <c r="C18" s="307">
        <f>SUM(C16:C17)</f>
        <v>40200500</v>
      </c>
      <c r="D18" s="307">
        <f>SUM(D16:D17)</f>
        <v>40200500</v>
      </c>
      <c r="E18" s="308">
        <f>SUM(E16:E17)</f>
        <v>38323350</v>
      </c>
      <c r="F18" s="308"/>
    </row>
    <row r="19" spans="1:10" s="309" customFormat="1" ht="15.6" x14ac:dyDescent="0.25">
      <c r="A19" s="304" t="s">
        <v>300</v>
      </c>
      <c r="B19" s="383">
        <v>6720600</v>
      </c>
      <c r="C19" s="383">
        <v>6720600</v>
      </c>
      <c r="D19" s="451">
        <v>6720601</v>
      </c>
      <c r="E19" s="452">
        <v>6623200</v>
      </c>
      <c r="F19" s="305"/>
    </row>
    <row r="20" spans="1:10" s="309" customFormat="1" ht="15.6" x14ac:dyDescent="0.25">
      <c r="A20" s="306" t="s">
        <v>117</v>
      </c>
      <c r="B20" s="307">
        <f>SUM(B19:B19)</f>
        <v>6720600</v>
      </c>
      <c r="C20" s="307">
        <f>SUM(C19:C19)</f>
        <v>6720600</v>
      </c>
      <c r="D20" s="307">
        <f>SUM(D19:D19)</f>
        <v>6720601</v>
      </c>
      <c r="E20" s="308">
        <f>SUM(E19:E19)</f>
        <v>6623200</v>
      </c>
      <c r="F20" s="308"/>
      <c r="G20" s="318"/>
      <c r="H20" s="318"/>
      <c r="I20" s="318"/>
      <c r="J20" s="318"/>
    </row>
    <row r="21" spans="1:10" s="309" customFormat="1" ht="28.8" x14ac:dyDescent="0.25">
      <c r="A21" s="304" t="s">
        <v>452</v>
      </c>
      <c r="B21" s="383">
        <f>396700*2</f>
        <v>793400</v>
      </c>
      <c r="C21" s="383">
        <v>760342</v>
      </c>
      <c r="D21" s="451">
        <v>760343</v>
      </c>
      <c r="E21" s="452">
        <f>396700+363642</f>
        <v>760342</v>
      </c>
      <c r="F21" s="305"/>
    </row>
    <row r="22" spans="1:10" s="309" customFormat="1" ht="18" x14ac:dyDescent="0.25">
      <c r="A22" s="422" t="s">
        <v>603</v>
      </c>
      <c r="B22" s="311">
        <f>B18+B20+B21</f>
        <v>47714500</v>
      </c>
      <c r="C22" s="311">
        <f>C18+C20+C21</f>
        <v>47681442</v>
      </c>
      <c r="D22" s="311">
        <f>D18+D20+D21</f>
        <v>47681444</v>
      </c>
      <c r="E22" s="312">
        <f>E18+E20+E21</f>
        <v>45706892</v>
      </c>
      <c r="F22" s="312"/>
    </row>
    <row r="23" spans="1:10" ht="15.6" x14ac:dyDescent="0.25">
      <c r="A23" s="313"/>
      <c r="B23" s="314"/>
      <c r="C23" s="314"/>
      <c r="D23" s="315"/>
      <c r="E23" s="316"/>
      <c r="F23" s="317"/>
    </row>
    <row r="24" spans="1:10" s="309" customFormat="1" ht="15.6" x14ac:dyDescent="0.25">
      <c r="A24" s="304" t="s">
        <v>189</v>
      </c>
      <c r="B24" s="383">
        <v>15682000</v>
      </c>
      <c r="C24" s="383">
        <v>15682000</v>
      </c>
      <c r="D24" s="451">
        <v>15682001</v>
      </c>
      <c r="E24" s="485">
        <v>15682000</v>
      </c>
      <c r="F24" s="305"/>
    </row>
    <row r="25" spans="1:10" ht="15.6" x14ac:dyDescent="0.25">
      <c r="A25" s="306" t="s">
        <v>189</v>
      </c>
      <c r="B25" s="307">
        <f>SUM(B24)</f>
        <v>15682000</v>
      </c>
      <c r="C25" s="307">
        <f>SUM(C24)</f>
        <v>15682000</v>
      </c>
      <c r="D25" s="307">
        <f>SUM(D24)</f>
        <v>15682001</v>
      </c>
      <c r="E25" s="307">
        <f>SUM(E24)</f>
        <v>15682000</v>
      </c>
      <c r="F25" s="308"/>
    </row>
    <row r="26" spans="1:10" ht="14.4" customHeight="1" x14ac:dyDescent="0.25">
      <c r="A26" s="304" t="s">
        <v>188</v>
      </c>
      <c r="B26" s="527">
        <v>3780000</v>
      </c>
      <c r="C26" s="527">
        <v>3780000</v>
      </c>
      <c r="D26" s="527">
        <v>3780000</v>
      </c>
      <c r="E26" s="527">
        <v>3780000</v>
      </c>
      <c r="F26" s="528"/>
    </row>
    <row r="27" spans="1:10" s="309" customFormat="1" ht="14.4" customHeight="1" x14ac:dyDescent="0.25">
      <c r="A27" s="304" t="s">
        <v>187</v>
      </c>
      <c r="B27" s="527"/>
      <c r="C27" s="527"/>
      <c r="D27" s="527"/>
      <c r="E27" s="527"/>
      <c r="F27" s="528"/>
    </row>
    <row r="28" spans="1:10" ht="28.8" x14ac:dyDescent="0.25">
      <c r="A28" s="306" t="s">
        <v>446</v>
      </c>
      <c r="B28" s="307">
        <f>SUM(B26)</f>
        <v>3780000</v>
      </c>
      <c r="C28" s="307">
        <f>SUM(C26)</f>
        <v>3780000</v>
      </c>
      <c r="D28" s="307">
        <f>SUM(D26)</f>
        <v>3780000</v>
      </c>
      <c r="E28" s="307">
        <f>SUM(E26)</f>
        <v>3780000</v>
      </c>
      <c r="F28" s="308"/>
    </row>
    <row r="29" spans="1:10" ht="15.6" x14ac:dyDescent="0.25">
      <c r="A29" s="304" t="s">
        <v>24</v>
      </c>
      <c r="B29" s="383">
        <v>2549040</v>
      </c>
      <c r="C29" s="383">
        <v>1960800</v>
      </c>
      <c r="D29" s="451">
        <v>1960800</v>
      </c>
      <c r="E29" s="485">
        <v>2222240</v>
      </c>
      <c r="F29" s="305"/>
    </row>
    <row r="30" spans="1:10" ht="15.6" x14ac:dyDescent="0.25">
      <c r="A30" s="304" t="s">
        <v>25</v>
      </c>
      <c r="B30" s="383">
        <v>3730000</v>
      </c>
      <c r="C30" s="383">
        <v>3705000</v>
      </c>
      <c r="D30" s="451">
        <v>3705000</v>
      </c>
      <c r="E30" s="485">
        <f>3960000+75000</f>
        <v>4035000</v>
      </c>
      <c r="F30" s="305"/>
    </row>
    <row r="31" spans="1:10" s="309" customFormat="1" ht="15.6" x14ac:dyDescent="0.25">
      <c r="A31" s="304" t="s">
        <v>26</v>
      </c>
      <c r="B31" s="383">
        <v>2280000</v>
      </c>
      <c r="C31" s="383">
        <v>1900000</v>
      </c>
      <c r="D31" s="451">
        <v>1900000</v>
      </c>
      <c r="E31" s="485">
        <v>2280000</v>
      </c>
      <c r="F31" s="305"/>
    </row>
    <row r="32" spans="1:10" ht="28.8" x14ac:dyDescent="0.25">
      <c r="A32" s="306" t="s">
        <v>447</v>
      </c>
      <c r="B32" s="307">
        <f>SUM(B29:B31)</f>
        <v>8559040</v>
      </c>
      <c r="C32" s="307">
        <f>SUM(C29:C31)</f>
        <v>7565800</v>
      </c>
      <c r="D32" s="307">
        <f>SUM(D29:D31)</f>
        <v>7565800</v>
      </c>
      <c r="E32" s="307">
        <f>SUM(E29:E31)</f>
        <v>8537240</v>
      </c>
      <c r="F32" s="308"/>
    </row>
    <row r="33" spans="1:6" ht="15.6" x14ac:dyDescent="0.25">
      <c r="A33" s="319" t="s">
        <v>448</v>
      </c>
      <c r="B33" s="383">
        <v>11704000</v>
      </c>
      <c r="C33" s="383">
        <v>11220000</v>
      </c>
      <c r="D33" s="451">
        <v>11220000</v>
      </c>
      <c r="E33" s="485">
        <v>10802000</v>
      </c>
      <c r="F33" s="305"/>
    </row>
    <row r="34" spans="1:6" ht="15.6" x14ac:dyDescent="0.25">
      <c r="A34" s="319" t="s">
        <v>449</v>
      </c>
      <c r="B34" s="383">
        <v>0</v>
      </c>
      <c r="C34" s="383">
        <v>0</v>
      </c>
      <c r="D34" s="451">
        <v>0</v>
      </c>
      <c r="E34" s="485">
        <v>0</v>
      </c>
      <c r="F34" s="305"/>
    </row>
    <row r="35" spans="1:6" s="309" customFormat="1" ht="15.6" x14ac:dyDescent="0.25">
      <c r="A35" s="319" t="s">
        <v>450</v>
      </c>
      <c r="B35" s="383">
        <v>174720</v>
      </c>
      <c r="C35" s="383">
        <v>181260</v>
      </c>
      <c r="D35" s="451">
        <v>181260</v>
      </c>
      <c r="E35" s="485">
        <v>268470</v>
      </c>
      <c r="F35" s="305"/>
    </row>
    <row r="36" spans="1:6" ht="15.6" x14ac:dyDescent="0.25">
      <c r="A36" s="306" t="s">
        <v>118</v>
      </c>
      <c r="B36" s="307">
        <f>SUM(B33:B35)</f>
        <v>11878720</v>
      </c>
      <c r="C36" s="307">
        <f>SUM(C33:C35)</f>
        <v>11401260</v>
      </c>
      <c r="D36" s="307">
        <f>SUM(D33:D35)</f>
        <v>11401260</v>
      </c>
      <c r="E36" s="307">
        <f>SUM(E33:E35)</f>
        <v>11070470</v>
      </c>
      <c r="F36" s="308"/>
    </row>
    <row r="37" spans="1:6" ht="28.8" x14ac:dyDescent="0.25">
      <c r="A37" s="320" t="s">
        <v>420</v>
      </c>
      <c r="B37" s="383">
        <v>8838000</v>
      </c>
      <c r="C37" s="383">
        <v>8838000</v>
      </c>
      <c r="D37" s="451">
        <v>8838000</v>
      </c>
      <c r="E37" s="485">
        <v>8838000</v>
      </c>
      <c r="F37" s="305"/>
    </row>
    <row r="38" spans="1:6" ht="28.8" x14ac:dyDescent="0.25">
      <c r="A38" s="320" t="s">
        <v>421</v>
      </c>
      <c r="B38" s="383">
        <v>2993000</v>
      </c>
      <c r="C38" s="383">
        <v>2993000</v>
      </c>
      <c r="D38" s="451">
        <v>2993000</v>
      </c>
      <c r="E38" s="485">
        <v>4489500</v>
      </c>
      <c r="F38" s="305"/>
    </row>
    <row r="39" spans="1:6" s="309" customFormat="1" ht="15.6" x14ac:dyDescent="0.25">
      <c r="A39" s="320" t="s">
        <v>422</v>
      </c>
      <c r="B39" s="383">
        <v>3032000</v>
      </c>
      <c r="C39" s="383">
        <v>3032000</v>
      </c>
      <c r="D39" s="451">
        <v>3032000</v>
      </c>
      <c r="E39" s="485">
        <v>4179000</v>
      </c>
      <c r="F39" s="305"/>
    </row>
    <row r="40" spans="1:6" ht="15.6" x14ac:dyDescent="0.25">
      <c r="A40" s="306" t="s">
        <v>451</v>
      </c>
      <c r="B40" s="307">
        <f>SUM(B37:B39)</f>
        <v>14863000</v>
      </c>
      <c r="C40" s="307">
        <f>SUM(C37:C39)</f>
        <v>14863000</v>
      </c>
      <c r="D40" s="307">
        <f>SUM(D37:D39)</f>
        <v>14863000</v>
      </c>
      <c r="E40" s="307">
        <f>SUM(E37:E39)</f>
        <v>17506500</v>
      </c>
      <c r="F40" s="308"/>
    </row>
    <row r="41" spans="1:6" ht="36" x14ac:dyDescent="0.25">
      <c r="A41" s="422" t="s">
        <v>557</v>
      </c>
      <c r="B41" s="311">
        <f>B25+B28+B32+B36+B40</f>
        <v>54762760</v>
      </c>
      <c r="C41" s="311">
        <f>C25+C28+C32+C36+C40</f>
        <v>53292060</v>
      </c>
      <c r="D41" s="311">
        <f>D25+D28+D32+D36+D40</f>
        <v>53292061</v>
      </c>
      <c r="E41" s="311">
        <f>E25+E28+E32+E36+E40</f>
        <v>56576210</v>
      </c>
      <c r="F41" s="312"/>
    </row>
    <row r="42" spans="1:6" ht="15.6" x14ac:dyDescent="0.25">
      <c r="A42" s="321"/>
      <c r="B42" s="314"/>
      <c r="C42" s="314"/>
      <c r="D42" s="315"/>
      <c r="E42" s="316"/>
      <c r="F42" s="317"/>
    </row>
    <row r="43" spans="1:6" ht="15.6" x14ac:dyDescent="0.25">
      <c r="A43" s="387" t="s">
        <v>530</v>
      </c>
      <c r="B43" s="383">
        <v>3770514</v>
      </c>
      <c r="C43" s="383">
        <v>3770514</v>
      </c>
      <c r="D43" s="451">
        <v>3770514</v>
      </c>
      <c r="E43" s="452">
        <v>3770514</v>
      </c>
      <c r="F43" s="305"/>
    </row>
    <row r="44" spans="1:6" ht="18" x14ac:dyDescent="0.25">
      <c r="A44" s="422" t="s">
        <v>529</v>
      </c>
      <c r="B44" s="311">
        <v>3770514</v>
      </c>
      <c r="C44" s="311">
        <v>3770514</v>
      </c>
      <c r="D44" s="311">
        <v>3770514</v>
      </c>
      <c r="E44" s="311">
        <v>3770514</v>
      </c>
      <c r="F44" s="312"/>
    </row>
    <row r="45" spans="1:6" ht="15.6" x14ac:dyDescent="0.25">
      <c r="A45" s="321"/>
      <c r="B45" s="314"/>
      <c r="C45" s="314"/>
      <c r="D45" s="315"/>
      <c r="E45" s="315"/>
      <c r="F45" s="317"/>
    </row>
    <row r="46" spans="1:6" ht="18" x14ac:dyDescent="0.25">
      <c r="A46" s="424" t="s">
        <v>531</v>
      </c>
      <c r="B46" s="388">
        <f>B14+B22+B41+B44</f>
        <v>177461813</v>
      </c>
      <c r="C46" s="388">
        <f>C14+C22+C41+C44</f>
        <v>175958055</v>
      </c>
      <c r="D46" s="388">
        <f>D14+D22+D41+D44</f>
        <v>175958058</v>
      </c>
      <c r="E46" s="388">
        <f>E14+E22+E41+E44</f>
        <v>177267655</v>
      </c>
      <c r="F46" s="389"/>
    </row>
    <row r="47" spans="1:6" ht="15.6" x14ac:dyDescent="0.25">
      <c r="A47" s="321"/>
      <c r="B47" s="314"/>
      <c r="C47" s="314"/>
      <c r="D47" s="315"/>
      <c r="E47" s="316"/>
      <c r="F47" s="317"/>
    </row>
    <row r="48" spans="1:6" ht="15.6" x14ac:dyDescent="0.25">
      <c r="A48" s="496" t="s">
        <v>561</v>
      </c>
      <c r="B48" s="278">
        <v>0</v>
      </c>
      <c r="C48" s="278">
        <v>0</v>
      </c>
      <c r="D48" s="454">
        <v>201000</v>
      </c>
      <c r="E48" s="454">
        <v>201000</v>
      </c>
      <c r="F48" s="399"/>
    </row>
    <row r="49" spans="1:6" ht="28.8" x14ac:dyDescent="0.25">
      <c r="A49" s="497" t="s">
        <v>617</v>
      </c>
      <c r="B49" s="278">
        <v>0</v>
      </c>
      <c r="C49" s="278">
        <v>0</v>
      </c>
      <c r="D49" s="454">
        <v>0</v>
      </c>
      <c r="E49" s="454">
        <v>500000</v>
      </c>
      <c r="F49" s="399"/>
    </row>
    <row r="50" spans="1:6" s="309" customFormat="1" ht="15.6" x14ac:dyDescent="0.25">
      <c r="A50" s="450" t="s">
        <v>559</v>
      </c>
      <c r="B50" s="357">
        <f>SUM(B48:B48)</f>
        <v>0</v>
      </c>
      <c r="C50" s="357">
        <f>SUM(C48:C48)</f>
        <v>0</v>
      </c>
      <c r="D50" s="357">
        <f>SUM(D48:D48)</f>
        <v>201000</v>
      </c>
      <c r="E50" s="357">
        <f>SUM(E48:E49)</f>
        <v>701000</v>
      </c>
      <c r="F50" s="252"/>
    </row>
    <row r="51" spans="1:6" ht="15.6" x14ac:dyDescent="0.25">
      <c r="A51" s="496" t="s">
        <v>560</v>
      </c>
      <c r="B51" s="278">
        <v>0</v>
      </c>
      <c r="C51" s="278">
        <v>0</v>
      </c>
      <c r="D51" s="454">
        <v>3478083</v>
      </c>
      <c r="E51" s="454">
        <v>3478083</v>
      </c>
      <c r="F51" s="399"/>
    </row>
    <row r="52" spans="1:6" s="309" customFormat="1" ht="15.6" x14ac:dyDescent="0.25">
      <c r="A52" s="450" t="s">
        <v>562</v>
      </c>
      <c r="B52" s="357">
        <f>SUM(B51:B51)</f>
        <v>0</v>
      </c>
      <c r="C52" s="357">
        <f>SUM(C51:C51)</f>
        <v>0</v>
      </c>
      <c r="D52" s="357">
        <f>SUM(D51:D51)</f>
        <v>3478083</v>
      </c>
      <c r="E52" s="357">
        <f>SUM(E51:E51)</f>
        <v>3478083</v>
      </c>
      <c r="F52" s="252"/>
    </row>
    <row r="53" spans="1:6" ht="15.6" x14ac:dyDescent="0.25">
      <c r="A53" s="496" t="s">
        <v>566</v>
      </c>
      <c r="B53" s="278">
        <v>0</v>
      </c>
      <c r="C53" s="278">
        <v>0</v>
      </c>
      <c r="D53" s="454">
        <v>618000</v>
      </c>
      <c r="E53" s="454">
        <v>618000</v>
      </c>
      <c r="F53" s="399"/>
    </row>
    <row r="54" spans="1:6" ht="15.6" x14ac:dyDescent="0.25">
      <c r="A54" s="496" t="s">
        <v>564</v>
      </c>
      <c r="B54" s="278">
        <v>0</v>
      </c>
      <c r="C54" s="278">
        <v>0</v>
      </c>
      <c r="D54" s="454">
        <v>1511000</v>
      </c>
      <c r="E54" s="454">
        <v>1511000</v>
      </c>
      <c r="F54" s="399"/>
    </row>
    <row r="55" spans="1:6" ht="15.6" x14ac:dyDescent="0.25">
      <c r="A55" s="496" t="s">
        <v>563</v>
      </c>
      <c r="B55" s="278">
        <v>0</v>
      </c>
      <c r="C55" s="278">
        <v>0</v>
      </c>
      <c r="D55" s="454">
        <v>897600</v>
      </c>
      <c r="E55" s="454">
        <v>897600</v>
      </c>
      <c r="F55" s="399"/>
    </row>
    <row r="56" spans="1:6" ht="15.6" x14ac:dyDescent="0.25">
      <c r="A56" s="382" t="s">
        <v>335</v>
      </c>
      <c r="B56" s="278">
        <v>2800000</v>
      </c>
      <c r="C56" s="278">
        <v>2800000</v>
      </c>
      <c r="D56" s="454">
        <v>2800000</v>
      </c>
      <c r="E56" s="454">
        <v>3215000</v>
      </c>
      <c r="F56" s="399"/>
    </row>
    <row r="57" spans="1:6" s="309" customFormat="1" ht="15.6" x14ac:dyDescent="0.25">
      <c r="A57" s="381" t="s">
        <v>553</v>
      </c>
      <c r="B57" s="357">
        <f>SUM(B54:B56)</f>
        <v>2800000</v>
      </c>
      <c r="C57" s="357">
        <f t="shared" ref="C57" si="0">SUM(C54:C56)</f>
        <v>2800000</v>
      </c>
      <c r="D57" s="357">
        <f>SUM(D53:D56)</f>
        <v>5826600</v>
      </c>
      <c r="E57" s="357">
        <f>SUM(E53:E56)</f>
        <v>6241600</v>
      </c>
      <c r="F57" s="252"/>
    </row>
    <row r="58" spans="1:6" s="309" customFormat="1" ht="15.6" x14ac:dyDescent="0.25">
      <c r="A58" s="496" t="s">
        <v>565</v>
      </c>
      <c r="B58" s="278">
        <v>0</v>
      </c>
      <c r="C58" s="278">
        <v>0</v>
      </c>
      <c r="D58" s="454">
        <v>1296020</v>
      </c>
      <c r="E58" s="454">
        <v>1296020</v>
      </c>
      <c r="F58" s="399"/>
    </row>
    <row r="59" spans="1:6" s="309" customFormat="1" ht="15.6" x14ac:dyDescent="0.25">
      <c r="A59" s="382" t="s">
        <v>366</v>
      </c>
      <c r="B59" s="278">
        <v>190000</v>
      </c>
      <c r="C59" s="278">
        <v>190000</v>
      </c>
      <c r="D59" s="454">
        <v>190000</v>
      </c>
      <c r="E59" s="454">
        <v>238000</v>
      </c>
      <c r="F59" s="399"/>
    </row>
    <row r="60" spans="1:6" ht="15.6" x14ac:dyDescent="0.25">
      <c r="A60" s="381" t="s">
        <v>554</v>
      </c>
      <c r="B60" s="357">
        <f>SUM(B59:B59)</f>
        <v>190000</v>
      </c>
      <c r="C60" s="357">
        <f>SUM(C59:C59)</f>
        <v>190000</v>
      </c>
      <c r="D60" s="357">
        <f>SUM(D58:D59)</f>
        <v>1486020</v>
      </c>
      <c r="E60" s="357">
        <f>SUM(E58:E59)</f>
        <v>1534020</v>
      </c>
      <c r="F60" s="252"/>
    </row>
    <row r="61" spans="1:6" ht="15.6" x14ac:dyDescent="0.25">
      <c r="A61" s="382" t="s">
        <v>342</v>
      </c>
      <c r="B61" s="278">
        <v>0</v>
      </c>
      <c r="C61" s="278">
        <v>0</v>
      </c>
      <c r="D61" s="454">
        <v>0</v>
      </c>
      <c r="E61" s="454">
        <v>2514600</v>
      </c>
      <c r="F61" s="399"/>
    </row>
    <row r="62" spans="1:6" ht="15.6" x14ac:dyDescent="0.25">
      <c r="A62" s="381" t="s">
        <v>555</v>
      </c>
      <c r="B62" s="357">
        <f>SUM(B61:B61)</f>
        <v>0</v>
      </c>
      <c r="C62" s="357">
        <f>SUM(C61:C61)</f>
        <v>0</v>
      </c>
      <c r="D62" s="357">
        <f>SUM(D61:D61)</f>
        <v>0</v>
      </c>
      <c r="E62" s="357">
        <f>SUM(E61:E61)</f>
        <v>2514600</v>
      </c>
      <c r="F62" s="252"/>
    </row>
    <row r="63" spans="1:6" ht="15.6" x14ac:dyDescent="0.25">
      <c r="A63" s="480" t="s">
        <v>604</v>
      </c>
      <c r="B63" s="278">
        <v>49056</v>
      </c>
      <c r="C63" s="278">
        <v>49056</v>
      </c>
      <c r="D63" s="454">
        <v>49056</v>
      </c>
      <c r="E63" s="454">
        <v>49056</v>
      </c>
      <c r="F63" s="399"/>
    </row>
    <row r="64" spans="1:6" ht="15.6" x14ac:dyDescent="0.25">
      <c r="A64" s="477" t="s">
        <v>604</v>
      </c>
      <c r="B64" s="357">
        <f>SUM(B63)</f>
        <v>49056</v>
      </c>
      <c r="C64" s="357">
        <f t="shared" ref="C64:D64" si="1">SUM(C63)</f>
        <v>49056</v>
      </c>
      <c r="D64" s="357">
        <f t="shared" si="1"/>
        <v>49056</v>
      </c>
      <c r="E64" s="357">
        <f t="shared" ref="E64" si="2">SUM(E63)</f>
        <v>49056</v>
      </c>
      <c r="F64" s="252"/>
    </row>
    <row r="65" spans="1:6" ht="18" x14ac:dyDescent="0.25">
      <c r="A65" s="423" t="s">
        <v>602</v>
      </c>
      <c r="B65" s="359">
        <f>B57+B60+B62+B50+B52+B64</f>
        <v>3039056</v>
      </c>
      <c r="C65" s="359">
        <f t="shared" ref="C65:D65" si="3">C57+C60+C62+C50+C52+C64</f>
        <v>3039056</v>
      </c>
      <c r="D65" s="359">
        <f t="shared" si="3"/>
        <v>11040759</v>
      </c>
      <c r="E65" s="359">
        <f>E57+E60+E62+E50+E52+E64</f>
        <v>14518359</v>
      </c>
      <c r="F65" s="257"/>
    </row>
    <row r="66" spans="1:6" ht="15" x14ac:dyDescent="0.25">
      <c r="A66" s="268"/>
      <c r="B66" s="400"/>
      <c r="C66" s="400"/>
      <c r="D66" s="400"/>
      <c r="E66" s="400"/>
      <c r="F66" s="400"/>
    </row>
    <row r="67" spans="1:6" ht="15.6" x14ac:dyDescent="0.25">
      <c r="A67" s="398" t="s">
        <v>436</v>
      </c>
      <c r="B67" s="278">
        <v>0</v>
      </c>
      <c r="C67" s="278">
        <v>65000</v>
      </c>
      <c r="D67" s="278">
        <v>90000</v>
      </c>
      <c r="E67" s="278">
        <v>90000</v>
      </c>
      <c r="F67" s="399"/>
    </row>
    <row r="68" spans="1:6" ht="15.6" x14ac:dyDescent="0.25">
      <c r="A68" s="381" t="s">
        <v>551</v>
      </c>
      <c r="B68" s="357">
        <f t="shared" ref="B68:C68" si="4">SUM(B67)</f>
        <v>0</v>
      </c>
      <c r="C68" s="357">
        <f t="shared" si="4"/>
        <v>65000</v>
      </c>
      <c r="D68" s="357">
        <f t="shared" ref="D68:E68" si="5">SUM(D67)</f>
        <v>90000</v>
      </c>
      <c r="E68" s="357">
        <f t="shared" si="5"/>
        <v>90000</v>
      </c>
      <c r="F68" s="252"/>
    </row>
    <row r="69" spans="1:6" ht="15.6" x14ac:dyDescent="0.25">
      <c r="A69" s="398" t="s">
        <v>437</v>
      </c>
      <c r="B69" s="278">
        <v>1080000</v>
      </c>
      <c r="C69" s="278">
        <v>1080000</v>
      </c>
      <c r="D69" s="278">
        <v>1080000</v>
      </c>
      <c r="E69" s="278">
        <v>1080000</v>
      </c>
      <c r="F69" s="399"/>
    </row>
    <row r="70" spans="1:6" ht="15.6" x14ac:dyDescent="0.25">
      <c r="A70" s="381" t="s">
        <v>550</v>
      </c>
      <c r="B70" s="357">
        <f>SUM(B69:B69)</f>
        <v>1080000</v>
      </c>
      <c r="C70" s="357">
        <f>SUM(C69:C69)</f>
        <v>1080000</v>
      </c>
      <c r="D70" s="357">
        <f>SUM(D69:D69)</f>
        <v>1080000</v>
      </c>
      <c r="E70" s="357">
        <f>SUM(E69:E69)</f>
        <v>1080000</v>
      </c>
      <c r="F70" s="252"/>
    </row>
    <row r="71" spans="1:6" ht="15.6" x14ac:dyDescent="0.25">
      <c r="A71" s="466" t="s">
        <v>584</v>
      </c>
      <c r="B71" s="278">
        <v>0</v>
      </c>
      <c r="C71" s="278">
        <v>0</v>
      </c>
      <c r="D71" s="278">
        <v>587500</v>
      </c>
      <c r="E71" s="278">
        <v>587500</v>
      </c>
      <c r="F71" s="399"/>
    </row>
    <row r="72" spans="1:6" ht="15.6" x14ac:dyDescent="0.25">
      <c r="A72" s="398" t="s">
        <v>438</v>
      </c>
      <c r="B72" s="278">
        <v>8500000</v>
      </c>
      <c r="C72" s="278">
        <v>9000000</v>
      </c>
      <c r="D72" s="278">
        <v>9000000</v>
      </c>
      <c r="E72" s="278">
        <v>9500000</v>
      </c>
      <c r="F72" s="399"/>
    </row>
    <row r="73" spans="1:6" ht="15.6" x14ac:dyDescent="0.25">
      <c r="A73" s="381" t="s">
        <v>568</v>
      </c>
      <c r="B73" s="357">
        <f t="shared" ref="B73:C73" si="6">SUM(B71:B72)</f>
        <v>8500000</v>
      </c>
      <c r="C73" s="357">
        <f t="shared" si="6"/>
        <v>9000000</v>
      </c>
      <c r="D73" s="357">
        <f>SUM(D71:D72)</f>
        <v>9587500</v>
      </c>
      <c r="E73" s="357">
        <f>SUM(E71:E72)</f>
        <v>10087500</v>
      </c>
      <c r="F73" s="252"/>
    </row>
    <row r="74" spans="1:6" s="309" customFormat="1" ht="15.6" x14ac:dyDescent="0.25">
      <c r="A74" s="398" t="s">
        <v>439</v>
      </c>
      <c r="B74" s="278">
        <v>0</v>
      </c>
      <c r="C74" s="278">
        <v>0</v>
      </c>
      <c r="D74" s="278">
        <v>1952527</v>
      </c>
      <c r="E74" s="278">
        <v>1952524</v>
      </c>
      <c r="F74" s="399"/>
    </row>
    <row r="75" spans="1:6" ht="27.6" customHeight="1" x14ac:dyDescent="0.25">
      <c r="A75" s="412" t="s">
        <v>538</v>
      </c>
      <c r="B75" s="278">
        <v>43096775</v>
      </c>
      <c r="C75" s="383">
        <f>16601797+18742532</f>
        <v>35344329</v>
      </c>
      <c r="D75" s="278">
        <v>35082015</v>
      </c>
      <c r="E75" s="278">
        <v>33582015</v>
      </c>
      <c r="F75" s="399"/>
    </row>
    <row r="76" spans="1:6" ht="15.6" x14ac:dyDescent="0.25">
      <c r="A76" s="381" t="s">
        <v>552</v>
      </c>
      <c r="B76" s="357">
        <f t="shared" ref="B76:C76" si="7">SUM(B74:B75)</f>
        <v>43096775</v>
      </c>
      <c r="C76" s="357">
        <f t="shared" si="7"/>
        <v>35344329</v>
      </c>
      <c r="D76" s="357">
        <f>SUM(D74:D75)</f>
        <v>37034542</v>
      </c>
      <c r="E76" s="357">
        <f>SUM(E74:E75)</f>
        <v>35534539</v>
      </c>
      <c r="F76" s="252"/>
    </row>
    <row r="77" spans="1:6" ht="15.6" x14ac:dyDescent="0.25">
      <c r="A77" s="438" t="s">
        <v>440</v>
      </c>
      <c r="B77" s="278">
        <v>0</v>
      </c>
      <c r="C77" s="278">
        <v>0</v>
      </c>
      <c r="D77" s="278">
        <v>0</v>
      </c>
      <c r="E77" s="278">
        <v>0</v>
      </c>
      <c r="F77" s="399"/>
    </row>
    <row r="78" spans="1:6" ht="15.6" x14ac:dyDescent="0.25">
      <c r="A78" s="381" t="s">
        <v>440</v>
      </c>
      <c r="B78" s="357">
        <f t="shared" ref="B78:C80" si="8">SUM(B77)</f>
        <v>0</v>
      </c>
      <c r="C78" s="357">
        <f t="shared" si="8"/>
        <v>0</v>
      </c>
      <c r="D78" s="357">
        <f t="shared" ref="D78:E78" si="9">SUM(D77)</f>
        <v>0</v>
      </c>
      <c r="E78" s="357">
        <f t="shared" si="9"/>
        <v>0</v>
      </c>
      <c r="F78" s="252"/>
    </row>
    <row r="79" spans="1:6" ht="15.6" x14ac:dyDescent="0.25">
      <c r="A79" s="398" t="s">
        <v>441</v>
      </c>
      <c r="B79" s="278">
        <v>45000</v>
      </c>
      <c r="C79" s="278">
        <v>45000</v>
      </c>
      <c r="D79" s="278">
        <v>45000</v>
      </c>
      <c r="E79" s="278">
        <v>92998</v>
      </c>
      <c r="F79" s="399"/>
    </row>
    <row r="80" spans="1:6" ht="15.6" x14ac:dyDescent="0.25">
      <c r="A80" s="381" t="s">
        <v>608</v>
      </c>
      <c r="B80" s="357">
        <f t="shared" si="8"/>
        <v>45000</v>
      </c>
      <c r="C80" s="357">
        <f t="shared" si="8"/>
        <v>45000</v>
      </c>
      <c r="D80" s="357">
        <f t="shared" ref="D80:E80" si="10">SUM(D79)</f>
        <v>45000</v>
      </c>
      <c r="E80" s="357">
        <f t="shared" si="10"/>
        <v>92998</v>
      </c>
      <c r="F80" s="252"/>
    </row>
    <row r="81" spans="1:6" ht="18" x14ac:dyDescent="0.25">
      <c r="A81" s="423" t="s">
        <v>539</v>
      </c>
      <c r="B81" s="359">
        <f>B68+B70+B73+B76+B78+B80</f>
        <v>52721775</v>
      </c>
      <c r="C81" s="359">
        <f>C68+C70+C73+C76+C78+C80</f>
        <v>45534329</v>
      </c>
      <c r="D81" s="359">
        <f>D68+D70+D73+D76+D78+D80</f>
        <v>47837042</v>
      </c>
      <c r="E81" s="359">
        <f>E68+E70+E73+E76+E78+E80</f>
        <v>46885037</v>
      </c>
      <c r="F81" s="257"/>
    </row>
  </sheetData>
  <mergeCells count="6">
    <mergeCell ref="A1:F1"/>
    <mergeCell ref="D26:D27"/>
    <mergeCell ref="B26:B27"/>
    <mergeCell ref="C26:C27"/>
    <mergeCell ref="E26:E27"/>
    <mergeCell ref="F26:F27"/>
  </mergeCells>
  <printOptions horizontalCentered="1" verticalCentered="1"/>
  <pageMargins left="0.23622047244094491" right="0.23622047244094491" top="0.59055118110236227" bottom="0.23622047244094491" header="0.31496062992125984" footer="0.31496062992125984"/>
  <pageSetup paperSize="9" scale="60" orientation="portrait" r:id="rId1"/>
  <headerFooter>
    <oddHeader>&amp;R1./a sz. melléklet
Ft-ban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5">
    <pageSetUpPr fitToPage="1"/>
  </sheetPr>
  <dimension ref="A1:I41"/>
  <sheetViews>
    <sheetView zoomScale="70" zoomScaleNormal="70" workbookViewId="0">
      <selection activeCell="A10" sqref="A10:XFD10"/>
    </sheetView>
  </sheetViews>
  <sheetFormatPr defaultRowHeight="13.2" x14ac:dyDescent="0.25"/>
  <cols>
    <col min="1" max="1" width="6.109375" bestFit="1" customWidth="1"/>
    <col min="2" max="2" width="34.109375" bestFit="1" customWidth="1"/>
    <col min="3" max="3" width="17.33203125" style="3" customWidth="1"/>
    <col min="4" max="4" width="15.6640625" style="3" customWidth="1"/>
    <col min="5" max="7" width="15.6640625" customWidth="1"/>
    <col min="8" max="8" width="11.88671875" bestFit="1" customWidth="1"/>
    <col min="9" max="9" width="11.44140625" bestFit="1" customWidth="1"/>
  </cols>
  <sheetData>
    <row r="1" spans="1:9" ht="18" x14ac:dyDescent="0.25">
      <c r="A1" s="499" t="s">
        <v>495</v>
      </c>
      <c r="B1" s="499"/>
      <c r="C1" s="499"/>
      <c r="D1" s="499"/>
      <c r="E1" s="499"/>
      <c r="F1" s="499"/>
      <c r="G1" s="499"/>
    </row>
    <row r="2" spans="1:9" ht="18" x14ac:dyDescent="0.25">
      <c r="A2" s="529" t="s">
        <v>484</v>
      </c>
      <c r="B2" s="529"/>
      <c r="C2" s="529"/>
      <c r="D2" s="529"/>
      <c r="E2" s="529"/>
      <c r="F2" s="529"/>
      <c r="G2" s="529"/>
    </row>
    <row r="3" spans="1:9" ht="13.8" x14ac:dyDescent="0.25">
      <c r="A3" s="40"/>
      <c r="B3" s="40"/>
      <c r="C3" s="10"/>
      <c r="D3" s="10"/>
      <c r="E3" s="10"/>
      <c r="F3" s="10"/>
      <c r="G3" s="10"/>
    </row>
    <row r="4" spans="1:9" ht="31.2" x14ac:dyDescent="0.25">
      <c r="A4" s="538" t="s">
        <v>54</v>
      </c>
      <c r="B4" s="538"/>
      <c r="C4" s="295" t="s">
        <v>483</v>
      </c>
      <c r="D4" s="322" t="s">
        <v>466</v>
      </c>
      <c r="E4" s="279" t="s">
        <v>443</v>
      </c>
      <c r="F4" s="279" t="s">
        <v>444</v>
      </c>
      <c r="G4" s="279" t="s">
        <v>445</v>
      </c>
    </row>
    <row r="5" spans="1:9" s="1" customFormat="1" ht="18" x14ac:dyDescent="0.25">
      <c r="A5" s="185" t="s">
        <v>336</v>
      </c>
      <c r="B5" s="185" t="s">
        <v>337</v>
      </c>
      <c r="C5" s="537" t="s">
        <v>397</v>
      </c>
      <c r="D5" s="537"/>
      <c r="E5" s="537"/>
      <c r="F5" s="537"/>
      <c r="G5" s="537"/>
    </row>
    <row r="6" spans="1:9" ht="14.4" x14ac:dyDescent="0.3">
      <c r="A6" s="282" t="s">
        <v>193</v>
      </c>
      <c r="B6" s="282" t="s">
        <v>194</v>
      </c>
      <c r="C6" s="227">
        <v>250000</v>
      </c>
      <c r="D6" s="227">
        <v>250000</v>
      </c>
      <c r="E6" s="455">
        <v>150000</v>
      </c>
      <c r="F6" s="486">
        <v>150000</v>
      </c>
      <c r="G6" s="42"/>
      <c r="H6" s="15"/>
    </row>
    <row r="7" spans="1:9" ht="14.4" x14ac:dyDescent="0.3">
      <c r="A7" s="282" t="s">
        <v>195</v>
      </c>
      <c r="B7" s="282" t="s">
        <v>196</v>
      </c>
      <c r="C7" s="227">
        <v>7300000</v>
      </c>
      <c r="D7" s="227">
        <v>7300000</v>
      </c>
      <c r="E7" s="455">
        <v>6500000</v>
      </c>
      <c r="F7" s="486">
        <v>4500000</v>
      </c>
      <c r="G7" s="42"/>
      <c r="H7" s="15"/>
    </row>
    <row r="8" spans="1:9" ht="14.4" x14ac:dyDescent="0.3">
      <c r="A8" s="282" t="s">
        <v>197</v>
      </c>
      <c r="B8" s="282" t="s">
        <v>198</v>
      </c>
      <c r="C8" s="227">
        <v>2200000</v>
      </c>
      <c r="D8" s="227">
        <v>2200000</v>
      </c>
      <c r="E8" s="455">
        <v>2500000</v>
      </c>
      <c r="F8" s="486">
        <v>2500000</v>
      </c>
      <c r="G8" s="42"/>
      <c r="H8" s="15"/>
    </row>
    <row r="9" spans="1:9" ht="14.4" x14ac:dyDescent="0.3">
      <c r="A9" s="282" t="s">
        <v>201</v>
      </c>
      <c r="B9" s="282" t="s">
        <v>202</v>
      </c>
      <c r="C9" s="227">
        <v>2400000</v>
      </c>
      <c r="D9" s="227">
        <v>2400000</v>
      </c>
      <c r="E9" s="455">
        <v>2400000</v>
      </c>
      <c r="F9" s="486">
        <v>1600000</v>
      </c>
      <c r="G9" s="42"/>
      <c r="H9" s="15"/>
    </row>
    <row r="10" spans="1:9" ht="14.4" x14ac:dyDescent="0.3">
      <c r="A10" s="282" t="s">
        <v>203</v>
      </c>
      <c r="B10" s="282" t="s">
        <v>204</v>
      </c>
      <c r="C10" s="227">
        <v>2000</v>
      </c>
      <c r="D10" s="227">
        <v>2000</v>
      </c>
      <c r="E10" s="455">
        <v>2000</v>
      </c>
      <c r="F10" s="486">
        <v>2000</v>
      </c>
      <c r="G10" s="42"/>
      <c r="H10" s="15"/>
    </row>
    <row r="11" spans="1:9" ht="14.4" x14ac:dyDescent="0.3">
      <c r="A11" s="282" t="s">
        <v>392</v>
      </c>
      <c r="B11" s="282" t="s">
        <v>205</v>
      </c>
      <c r="C11" s="227">
        <v>5000</v>
      </c>
      <c r="D11" s="227">
        <v>400000</v>
      </c>
      <c r="E11" s="455">
        <v>515000</v>
      </c>
      <c r="F11" s="486">
        <v>515000</v>
      </c>
      <c r="G11" s="42"/>
      <c r="H11" s="15"/>
    </row>
    <row r="12" spans="1:9" s="1" customFormat="1" ht="14.4" x14ac:dyDescent="0.3">
      <c r="A12" s="283" t="s">
        <v>206</v>
      </c>
      <c r="B12" s="283" t="s">
        <v>183</v>
      </c>
      <c r="C12" s="219">
        <f>SUM(C6:C11)</f>
        <v>12157000</v>
      </c>
      <c r="D12" s="219">
        <f>SUM(D6:D11)</f>
        <v>12552000</v>
      </c>
      <c r="E12" s="83">
        <f>SUM(E6:E11)</f>
        <v>12067000</v>
      </c>
      <c r="F12" s="83">
        <f>SUM(F6:F11)</f>
        <v>9267000</v>
      </c>
      <c r="G12" s="83">
        <f>SUM(G9:G11)</f>
        <v>0</v>
      </c>
      <c r="H12" s="180"/>
      <c r="I12" s="180"/>
    </row>
    <row r="13" spans="1:9" s="1" customFormat="1" ht="14.4" x14ac:dyDescent="0.3">
      <c r="A13" s="38"/>
      <c r="B13" s="39"/>
      <c r="C13" s="228"/>
      <c r="D13" s="228"/>
      <c r="E13" s="43"/>
      <c r="F13" s="43"/>
      <c r="G13" s="43"/>
    </row>
    <row r="14" spans="1:9" s="1" customFormat="1" ht="18" x14ac:dyDescent="0.25">
      <c r="A14" s="185" t="s">
        <v>336</v>
      </c>
      <c r="B14" s="185" t="s">
        <v>337</v>
      </c>
      <c r="C14" s="530" t="s">
        <v>482</v>
      </c>
      <c r="D14" s="530"/>
      <c r="E14" s="530"/>
      <c r="F14" s="530"/>
      <c r="G14" s="530"/>
    </row>
    <row r="15" spans="1:9" s="1" customFormat="1" ht="14.4" x14ac:dyDescent="0.3">
      <c r="A15" s="282" t="s">
        <v>193</v>
      </c>
      <c r="B15" s="282" t="s">
        <v>194</v>
      </c>
      <c r="C15" s="218">
        <v>0</v>
      </c>
      <c r="D15" s="218">
        <v>0</v>
      </c>
      <c r="E15" s="458">
        <v>0</v>
      </c>
      <c r="F15" s="487">
        <v>0</v>
      </c>
      <c r="G15" s="42"/>
    </row>
    <row r="16" spans="1:9" s="1" customFormat="1" ht="14.4" x14ac:dyDescent="0.3">
      <c r="A16" s="282" t="s">
        <v>195</v>
      </c>
      <c r="B16" s="282" t="s">
        <v>196</v>
      </c>
      <c r="C16" s="218">
        <v>0</v>
      </c>
      <c r="D16" s="218">
        <v>0</v>
      </c>
      <c r="E16" s="458">
        <v>0</v>
      </c>
      <c r="F16" s="487">
        <v>0</v>
      </c>
      <c r="G16" s="42"/>
    </row>
    <row r="17" spans="1:8" s="1" customFormat="1" ht="14.4" x14ac:dyDescent="0.3">
      <c r="A17" s="282" t="s">
        <v>199</v>
      </c>
      <c r="B17" s="282" t="s">
        <v>200</v>
      </c>
      <c r="C17" s="218">
        <v>9300000</v>
      </c>
      <c r="D17" s="218">
        <v>8700000</v>
      </c>
      <c r="E17" s="458">
        <v>8700000</v>
      </c>
      <c r="F17" s="487">
        <v>9400000</v>
      </c>
      <c r="G17" s="42"/>
    </row>
    <row r="18" spans="1:8" s="1" customFormat="1" ht="14.4" x14ac:dyDescent="0.3">
      <c r="A18" s="282" t="s">
        <v>201</v>
      </c>
      <c r="B18" s="282" t="s">
        <v>202</v>
      </c>
      <c r="C18" s="218">
        <v>2500000</v>
      </c>
      <c r="D18" s="218">
        <v>2100000</v>
      </c>
      <c r="E18" s="458">
        <v>2100000</v>
      </c>
      <c r="F18" s="487">
        <v>2600000</v>
      </c>
      <c r="G18" s="42"/>
    </row>
    <row r="19" spans="1:8" s="1" customFormat="1" ht="14.4" x14ac:dyDescent="0.3">
      <c r="A19" s="282" t="s">
        <v>203</v>
      </c>
      <c r="B19" s="282" t="s">
        <v>204</v>
      </c>
      <c r="C19" s="218">
        <v>0</v>
      </c>
      <c r="D19" s="218">
        <v>0</v>
      </c>
      <c r="E19" s="458">
        <v>0</v>
      </c>
      <c r="F19" s="487">
        <v>0</v>
      </c>
      <c r="G19" s="42"/>
    </row>
    <row r="20" spans="1:8" s="1" customFormat="1" ht="14.4" x14ac:dyDescent="0.3">
      <c r="A20" s="282" t="s">
        <v>392</v>
      </c>
      <c r="B20" s="282" t="s">
        <v>205</v>
      </c>
      <c r="C20" s="218">
        <v>3000</v>
      </c>
      <c r="D20" s="218">
        <v>280000</v>
      </c>
      <c r="E20" s="458">
        <v>282500</v>
      </c>
      <c r="F20" s="487">
        <v>282500</v>
      </c>
      <c r="G20" s="42"/>
      <c r="H20" s="180"/>
    </row>
    <row r="21" spans="1:8" s="1" customFormat="1" ht="14.4" x14ac:dyDescent="0.3">
      <c r="A21" s="283" t="s">
        <v>206</v>
      </c>
      <c r="B21" s="283" t="s">
        <v>183</v>
      </c>
      <c r="C21" s="219">
        <f>SUM(C15:C20)</f>
        <v>11803000</v>
      </c>
      <c r="D21" s="219">
        <f>SUM(D15:D20)</f>
        <v>11080000</v>
      </c>
      <c r="E21" s="83">
        <f>SUM(E15:E20)</f>
        <v>11082500</v>
      </c>
      <c r="F21" s="83">
        <f>SUM(F15:F20)</f>
        <v>12282500</v>
      </c>
      <c r="G21" s="83">
        <f>SUM(G17:G20)</f>
        <v>0</v>
      </c>
      <c r="H21" s="180"/>
    </row>
    <row r="22" spans="1:8" s="1" customFormat="1" ht="14.4" x14ac:dyDescent="0.3">
      <c r="A22" s="38"/>
      <c r="B22" s="39"/>
      <c r="C22" s="228"/>
      <c r="D22" s="228"/>
      <c r="E22" s="43"/>
      <c r="F22" s="43"/>
      <c r="G22" s="43"/>
    </row>
    <row r="23" spans="1:8" s="1" customFormat="1" ht="18" x14ac:dyDescent="0.25">
      <c r="A23" s="185" t="s">
        <v>336</v>
      </c>
      <c r="B23" s="185" t="s">
        <v>337</v>
      </c>
      <c r="C23" s="534" t="s">
        <v>398</v>
      </c>
      <c r="D23" s="535"/>
      <c r="E23" s="535"/>
      <c r="F23" s="535"/>
      <c r="G23" s="536"/>
    </row>
    <row r="24" spans="1:8" s="1" customFormat="1" ht="14.4" x14ac:dyDescent="0.3">
      <c r="A24" s="282" t="s">
        <v>193</v>
      </c>
      <c r="B24" s="282" t="s">
        <v>194</v>
      </c>
      <c r="C24" s="218">
        <v>0</v>
      </c>
      <c r="D24" s="218">
        <v>0</v>
      </c>
      <c r="E24" s="218">
        <v>0</v>
      </c>
      <c r="F24" s="487">
        <v>0</v>
      </c>
      <c r="G24" s="42"/>
    </row>
    <row r="25" spans="1:8" s="1" customFormat="1" ht="14.4" x14ac:dyDescent="0.3">
      <c r="A25" s="282" t="s">
        <v>195</v>
      </c>
      <c r="B25" s="282" t="s">
        <v>196</v>
      </c>
      <c r="C25" s="218">
        <v>400000</v>
      </c>
      <c r="D25" s="218">
        <v>300000</v>
      </c>
      <c r="E25" s="218">
        <v>300000</v>
      </c>
      <c r="F25" s="487">
        <v>300000</v>
      </c>
      <c r="G25" s="42"/>
    </row>
    <row r="26" spans="1:8" s="1" customFormat="1" ht="14.4" x14ac:dyDescent="0.3">
      <c r="A26" s="282" t="s">
        <v>199</v>
      </c>
      <c r="B26" s="282" t="s">
        <v>200</v>
      </c>
      <c r="C26" s="218">
        <v>900000</v>
      </c>
      <c r="D26" s="218">
        <v>700000</v>
      </c>
      <c r="E26" s="218">
        <v>700000</v>
      </c>
      <c r="F26" s="487">
        <v>600000</v>
      </c>
      <c r="G26" s="42"/>
    </row>
    <row r="27" spans="1:8" s="1" customFormat="1" ht="14.4" x14ac:dyDescent="0.3">
      <c r="A27" s="282" t="s">
        <v>201</v>
      </c>
      <c r="B27" s="282" t="s">
        <v>202</v>
      </c>
      <c r="C27" s="218">
        <v>0</v>
      </c>
      <c r="D27" s="218">
        <v>0</v>
      </c>
      <c r="E27" s="218">
        <v>0</v>
      </c>
      <c r="F27" s="487">
        <v>0</v>
      </c>
      <c r="G27" s="42"/>
    </row>
    <row r="28" spans="1:8" s="1" customFormat="1" ht="14.4" x14ac:dyDescent="0.3">
      <c r="A28" s="282" t="s">
        <v>203</v>
      </c>
      <c r="B28" s="282" t="s">
        <v>204</v>
      </c>
      <c r="C28" s="218">
        <v>0</v>
      </c>
      <c r="D28" s="218">
        <v>0</v>
      </c>
      <c r="E28" s="218">
        <v>0</v>
      </c>
      <c r="F28" s="487">
        <v>0</v>
      </c>
      <c r="G28" s="42"/>
    </row>
    <row r="29" spans="1:8" s="1" customFormat="1" ht="14.4" x14ac:dyDescent="0.3">
      <c r="A29" s="282" t="s">
        <v>392</v>
      </c>
      <c r="B29" s="282" t="s">
        <v>205</v>
      </c>
      <c r="C29" s="218">
        <v>3000</v>
      </c>
      <c r="D29" s="218">
        <v>3000</v>
      </c>
      <c r="E29" s="218">
        <v>3000</v>
      </c>
      <c r="F29" s="487">
        <v>3000</v>
      </c>
      <c r="G29" s="42"/>
    </row>
    <row r="30" spans="1:8" s="1" customFormat="1" ht="14.4" x14ac:dyDescent="0.3">
      <c r="A30" s="283" t="s">
        <v>206</v>
      </c>
      <c r="B30" s="283" t="s">
        <v>183</v>
      </c>
      <c r="C30" s="219">
        <f>SUM(C24:C29)</f>
        <v>1303000</v>
      </c>
      <c r="D30" s="219">
        <f>SUM(D24:D29)</f>
        <v>1003000</v>
      </c>
      <c r="E30" s="83">
        <f>SUM(E24:E29)</f>
        <v>1003000</v>
      </c>
      <c r="F30" s="83">
        <f>SUM(F24:F29)</f>
        <v>903000</v>
      </c>
      <c r="G30" s="83">
        <f>SUM(G26:G29)</f>
        <v>0</v>
      </c>
      <c r="H30" s="180"/>
    </row>
    <row r="31" spans="1:8" s="1" customFormat="1" ht="14.4" x14ac:dyDescent="0.3">
      <c r="A31" s="38"/>
      <c r="B31" s="39"/>
      <c r="C31" s="228"/>
      <c r="D31" s="228"/>
      <c r="E31" s="43"/>
      <c r="F31" s="43"/>
      <c r="G31" s="43"/>
    </row>
    <row r="32" spans="1:8" s="1" customFormat="1" ht="18" x14ac:dyDescent="0.25">
      <c r="A32" s="185" t="s">
        <v>336</v>
      </c>
      <c r="B32" s="185" t="s">
        <v>337</v>
      </c>
      <c r="C32" s="531" t="s">
        <v>394</v>
      </c>
      <c r="D32" s="532"/>
      <c r="E32" s="532"/>
      <c r="F32" s="532"/>
      <c r="G32" s="533"/>
    </row>
    <row r="33" spans="1:7" s="1" customFormat="1" ht="14.4" x14ac:dyDescent="0.3">
      <c r="A33" s="282" t="s">
        <v>193</v>
      </c>
      <c r="B33" s="282" t="s">
        <v>194</v>
      </c>
      <c r="C33" s="218">
        <v>0</v>
      </c>
      <c r="D33" s="218">
        <v>0</v>
      </c>
      <c r="E33" s="218">
        <v>0</v>
      </c>
      <c r="F33" s="487">
        <v>0</v>
      </c>
      <c r="G33" s="42"/>
    </row>
    <row r="34" spans="1:7" ht="14.4" x14ac:dyDescent="0.3">
      <c r="A34" s="282" t="s">
        <v>195</v>
      </c>
      <c r="B34" s="282" t="s">
        <v>196</v>
      </c>
      <c r="C34" s="218">
        <v>0</v>
      </c>
      <c r="D34" s="218">
        <v>0</v>
      </c>
      <c r="E34" s="218">
        <v>0</v>
      </c>
      <c r="F34" s="487">
        <v>0</v>
      </c>
      <c r="G34" s="42"/>
    </row>
    <row r="35" spans="1:7" ht="14.4" x14ac:dyDescent="0.3">
      <c r="A35" s="282" t="s">
        <v>199</v>
      </c>
      <c r="B35" s="282" t="s">
        <v>200</v>
      </c>
      <c r="C35" s="218">
        <v>0</v>
      </c>
      <c r="D35" s="218">
        <v>0</v>
      </c>
      <c r="E35" s="218">
        <v>0</v>
      </c>
      <c r="F35" s="487">
        <v>0</v>
      </c>
      <c r="G35" s="42"/>
    </row>
    <row r="36" spans="1:7" ht="14.4" x14ac:dyDescent="0.3">
      <c r="A36" s="282" t="s">
        <v>201</v>
      </c>
      <c r="B36" s="282" t="s">
        <v>202</v>
      </c>
      <c r="C36" s="218">
        <v>0</v>
      </c>
      <c r="D36" s="218">
        <v>0</v>
      </c>
      <c r="E36" s="218">
        <v>0</v>
      </c>
      <c r="F36" s="487">
        <v>0</v>
      </c>
      <c r="G36" s="42"/>
    </row>
    <row r="37" spans="1:7" ht="14.4" x14ac:dyDescent="0.3">
      <c r="A37" s="282" t="s">
        <v>203</v>
      </c>
      <c r="B37" s="282" t="s">
        <v>204</v>
      </c>
      <c r="C37" s="218">
        <v>0</v>
      </c>
      <c r="D37" s="218">
        <v>0</v>
      </c>
      <c r="E37" s="218">
        <v>0</v>
      </c>
      <c r="F37" s="487">
        <v>0</v>
      </c>
      <c r="G37" s="42"/>
    </row>
    <row r="38" spans="1:7" ht="14.4" x14ac:dyDescent="0.3">
      <c r="A38" s="282" t="s">
        <v>392</v>
      </c>
      <c r="B38" s="282" t="s">
        <v>205</v>
      </c>
      <c r="C38" s="218">
        <v>3000</v>
      </c>
      <c r="D38" s="218">
        <v>3000</v>
      </c>
      <c r="E38" s="218">
        <v>3000</v>
      </c>
      <c r="F38" s="487">
        <v>3000</v>
      </c>
      <c r="G38" s="42"/>
    </row>
    <row r="39" spans="1:7" ht="14.4" x14ac:dyDescent="0.3">
      <c r="A39" s="283" t="s">
        <v>206</v>
      </c>
      <c r="B39" s="283" t="s">
        <v>183</v>
      </c>
      <c r="C39" s="219">
        <f>SUM(C33:C38)</f>
        <v>3000</v>
      </c>
      <c r="D39" s="219">
        <f>SUM(D35:D38)</f>
        <v>3000</v>
      </c>
      <c r="E39" s="83">
        <f>SUM(E35:E38)</f>
        <v>3000</v>
      </c>
      <c r="F39" s="83">
        <f>SUM(F35:F38)</f>
        <v>3000</v>
      </c>
      <c r="G39" s="83">
        <f>SUM(G35:G38)</f>
        <v>0</v>
      </c>
    </row>
    <row r="40" spans="1:7" s="1" customFormat="1" ht="14.4" x14ac:dyDescent="0.3">
      <c r="A40" s="38"/>
      <c r="B40" s="39"/>
      <c r="C40" s="228"/>
      <c r="D40" s="228"/>
      <c r="E40" s="43"/>
      <c r="F40" s="43"/>
      <c r="G40" s="43"/>
    </row>
    <row r="41" spans="1:7" x14ac:dyDescent="0.25">
      <c r="C41" s="16"/>
      <c r="D41" s="16"/>
      <c r="E41" s="15"/>
      <c r="F41" s="15"/>
      <c r="G41" s="15"/>
    </row>
  </sheetData>
  <mergeCells count="7">
    <mergeCell ref="A1:G1"/>
    <mergeCell ref="A2:G2"/>
    <mergeCell ref="C14:G14"/>
    <mergeCell ref="C32:G32"/>
    <mergeCell ref="C23:G23"/>
    <mergeCell ref="C5:G5"/>
    <mergeCell ref="A4:B4"/>
  </mergeCells>
  <phoneticPr fontId="38" type="noConversion"/>
  <printOptions horizontalCentered="1" verticalCentered="1"/>
  <pageMargins left="0.23622047244094491" right="0.23622047244094491" top="0.59055118110236227" bottom="0.74803149606299213" header="0.31496062992125984" footer="0.31496062992125984"/>
  <pageSetup paperSize="9" scale="74" orientation="landscape" r:id="rId1"/>
  <headerFooter>
    <oddHeader>&amp;R1./b sz. melléklet
Ft-ban</oddHeader>
  </headerFooter>
  <ignoredErrors>
    <ignoredError sqref="D3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12">
    <pageSetUpPr fitToPage="1"/>
  </sheetPr>
  <dimension ref="A1:I85"/>
  <sheetViews>
    <sheetView topLeftCell="A19" zoomScale="70" zoomScaleNormal="70" workbookViewId="0">
      <selection activeCell="I32" sqref="I32"/>
    </sheetView>
  </sheetViews>
  <sheetFormatPr defaultColWidth="9.109375" defaultRowHeight="13.2" x14ac:dyDescent="0.25"/>
  <cols>
    <col min="1" max="1" width="9.109375" style="17"/>
    <col min="2" max="2" width="32.6640625" style="17" customWidth="1"/>
    <col min="3" max="3" width="10.44140625" style="150" customWidth="1"/>
    <col min="4" max="4" width="14.44140625" style="3" bestFit="1" customWidth="1"/>
    <col min="5" max="5" width="1.33203125" style="17" customWidth="1"/>
    <col min="6" max="6" width="39.5546875" style="17" customWidth="1"/>
    <col min="7" max="7" width="10.33203125" style="150" customWidth="1"/>
    <col min="8" max="8" width="14.44140625" style="3" bestFit="1" customWidth="1"/>
    <col min="9" max="9" width="11.88671875" style="467" bestFit="1" customWidth="1"/>
    <col min="10" max="16384" width="9.109375" style="17"/>
  </cols>
  <sheetData>
    <row r="1" spans="1:9" ht="18.600000000000001" thickBot="1" x14ac:dyDescent="0.3">
      <c r="A1" s="562" t="s">
        <v>501</v>
      </c>
      <c r="B1" s="562"/>
      <c r="C1" s="562"/>
      <c r="D1" s="562"/>
      <c r="E1" s="562"/>
      <c r="F1" s="562"/>
      <c r="G1" s="562"/>
      <c r="H1" s="563"/>
    </row>
    <row r="2" spans="1:9" s="234" customFormat="1" ht="10.8" customHeight="1" x14ac:dyDescent="0.25">
      <c r="A2" s="434"/>
      <c r="B2" s="434"/>
      <c r="C2" s="434"/>
      <c r="D2" s="434"/>
      <c r="E2" s="434"/>
      <c r="F2" s="434"/>
      <c r="G2" s="435"/>
      <c r="H2" s="436"/>
      <c r="I2" s="468"/>
    </row>
    <row r="3" spans="1:9" s="1" customFormat="1" ht="18.600000000000001" thickBot="1" x14ac:dyDescent="0.3">
      <c r="A3" s="564" t="s">
        <v>46</v>
      </c>
      <c r="B3" s="564"/>
      <c r="C3" s="564"/>
      <c r="D3" s="565"/>
      <c r="E3" s="437"/>
      <c r="F3" s="566" t="s">
        <v>43</v>
      </c>
      <c r="G3" s="567"/>
      <c r="H3" s="567"/>
    </row>
    <row r="4" spans="1:9" ht="14.4" customHeight="1" x14ac:dyDescent="0.3">
      <c r="A4" s="554" t="s">
        <v>369</v>
      </c>
      <c r="B4" s="555"/>
      <c r="C4" s="147" t="s">
        <v>382</v>
      </c>
      <c r="D4" s="369">
        <v>309962</v>
      </c>
      <c r="E4" s="188"/>
      <c r="F4" s="547" t="s">
        <v>369</v>
      </c>
      <c r="G4" s="147" t="s">
        <v>382</v>
      </c>
      <c r="H4" s="211">
        <f>H6/1.27</f>
        <v>94488.188976377947</v>
      </c>
      <c r="I4" s="17"/>
    </row>
    <row r="5" spans="1:9" ht="14.4" x14ac:dyDescent="0.25">
      <c r="A5" s="558" t="s">
        <v>592</v>
      </c>
      <c r="B5" s="559"/>
      <c r="C5" s="144"/>
      <c r="D5" s="370"/>
      <c r="E5" s="189"/>
      <c r="F5" s="548"/>
      <c r="G5" s="144" t="s">
        <v>383</v>
      </c>
      <c r="H5" s="365">
        <f>H6-H4</f>
        <v>25511.811023622053</v>
      </c>
      <c r="I5" s="17"/>
    </row>
    <row r="6" spans="1:9" ht="15" thickBot="1" x14ac:dyDescent="0.3">
      <c r="A6" s="237">
        <v>2017</v>
      </c>
      <c r="B6" s="238">
        <v>37233979</v>
      </c>
      <c r="C6" s="145" t="s">
        <v>368</v>
      </c>
      <c r="D6" s="222">
        <f>SUM(D4:D5)</f>
        <v>309962</v>
      </c>
      <c r="E6" s="190"/>
      <c r="F6" s="549"/>
      <c r="G6" s="145" t="s">
        <v>368</v>
      </c>
      <c r="H6" s="214">
        <v>120000</v>
      </c>
      <c r="I6" s="17"/>
    </row>
    <row r="7" spans="1:9" ht="15" customHeight="1" x14ac:dyDescent="0.25">
      <c r="A7" s="554" t="s">
        <v>370</v>
      </c>
      <c r="B7" s="555"/>
      <c r="C7" s="143" t="s">
        <v>382</v>
      </c>
      <c r="D7" s="371">
        <v>376186</v>
      </c>
      <c r="E7" s="188"/>
      <c r="F7" s="547" t="s">
        <v>370</v>
      </c>
      <c r="G7" s="143" t="s">
        <v>382</v>
      </c>
      <c r="H7" s="366">
        <f>H9/1.27</f>
        <v>1744745.6692913387</v>
      </c>
      <c r="I7" s="17"/>
    </row>
    <row r="8" spans="1:9" ht="14.4" x14ac:dyDescent="0.25">
      <c r="A8" s="558" t="s">
        <v>589</v>
      </c>
      <c r="B8" s="559"/>
      <c r="C8" s="144"/>
      <c r="D8" s="370"/>
      <c r="E8" s="189"/>
      <c r="F8" s="548"/>
      <c r="G8" s="144" t="s">
        <v>383</v>
      </c>
      <c r="H8" s="365">
        <f>H9-H7</f>
        <v>471081.33070866135</v>
      </c>
      <c r="I8" s="17"/>
    </row>
    <row r="9" spans="1:9" ht="15" thickBot="1" x14ac:dyDescent="0.3">
      <c r="A9" s="237">
        <v>2018</v>
      </c>
      <c r="B9" s="238">
        <v>37242564</v>
      </c>
      <c r="C9" s="145" t="s">
        <v>368</v>
      </c>
      <c r="D9" s="222">
        <f>SUM(D7:D8)</f>
        <v>376186</v>
      </c>
      <c r="E9" s="190"/>
      <c r="F9" s="549"/>
      <c r="G9" s="145" t="s">
        <v>368</v>
      </c>
      <c r="H9" s="214">
        <v>2215827</v>
      </c>
      <c r="I9" s="17"/>
    </row>
    <row r="10" spans="1:9" ht="14.4" customHeight="1" x14ac:dyDescent="0.25">
      <c r="A10" s="554" t="s">
        <v>371</v>
      </c>
      <c r="B10" s="555"/>
      <c r="C10" s="143" t="s">
        <v>382</v>
      </c>
      <c r="D10" s="371">
        <v>0</v>
      </c>
      <c r="E10" s="188"/>
      <c r="F10" s="555" t="s">
        <v>371</v>
      </c>
      <c r="G10" s="143" t="s">
        <v>382</v>
      </c>
      <c r="H10" s="366">
        <f>H12/1.27</f>
        <v>237515.74803149607</v>
      </c>
      <c r="I10" s="17"/>
    </row>
    <row r="11" spans="1:9" ht="14.4" x14ac:dyDescent="0.25">
      <c r="A11" s="558" t="s">
        <v>589</v>
      </c>
      <c r="B11" s="558"/>
      <c r="C11" s="144"/>
      <c r="D11" s="370"/>
      <c r="E11" s="189"/>
      <c r="F11" s="568"/>
      <c r="G11" s="144" t="s">
        <v>383</v>
      </c>
      <c r="H11" s="365">
        <f>H12-H10</f>
        <v>64129.25196850393</v>
      </c>
      <c r="I11" s="17"/>
    </row>
    <row r="12" spans="1:9" ht="15" thickBot="1" x14ac:dyDescent="0.3">
      <c r="A12" s="237">
        <v>2018</v>
      </c>
      <c r="B12" s="238">
        <v>30000000</v>
      </c>
      <c r="C12" s="145" t="s">
        <v>368</v>
      </c>
      <c r="D12" s="222">
        <f>SUM(D10:D11)</f>
        <v>0</v>
      </c>
      <c r="E12" s="190"/>
      <c r="F12" s="569"/>
      <c r="G12" s="145" t="s">
        <v>368</v>
      </c>
      <c r="H12" s="214">
        <v>301645</v>
      </c>
      <c r="I12" s="17"/>
    </row>
    <row r="13" spans="1:9" ht="14.4" customHeight="1" x14ac:dyDescent="0.25">
      <c r="A13" s="554" t="s">
        <v>426</v>
      </c>
      <c r="B13" s="555"/>
      <c r="C13" s="143" t="s">
        <v>382</v>
      </c>
      <c r="D13" s="371">
        <v>0</v>
      </c>
      <c r="E13" s="188"/>
      <c r="F13" s="547" t="s">
        <v>426</v>
      </c>
      <c r="G13" s="143" t="s">
        <v>382</v>
      </c>
      <c r="H13" s="366">
        <f t="shared" ref="H13" si="0">H15/1.27</f>
        <v>1850393.7007874015</v>
      </c>
      <c r="I13" s="17"/>
    </row>
    <row r="14" spans="1:9" ht="14.4" x14ac:dyDescent="0.25">
      <c r="A14" s="558" t="s">
        <v>588</v>
      </c>
      <c r="B14" s="559"/>
      <c r="C14" s="144"/>
      <c r="D14" s="370"/>
      <c r="E14" s="189"/>
      <c r="F14" s="548"/>
      <c r="G14" s="144" t="s">
        <v>383</v>
      </c>
      <c r="H14" s="365">
        <f t="shared" ref="H14" si="1">H15-H13</f>
        <v>499606.29921259847</v>
      </c>
      <c r="I14" s="17"/>
    </row>
    <row r="15" spans="1:9" ht="15" thickBot="1" x14ac:dyDescent="0.3">
      <c r="A15" s="237">
        <v>2019</v>
      </c>
      <c r="B15" s="238">
        <v>22040218</v>
      </c>
      <c r="C15" s="146" t="s">
        <v>368</v>
      </c>
      <c r="D15" s="372">
        <f>SUM(D13:D14)</f>
        <v>0</v>
      </c>
      <c r="E15" s="190"/>
      <c r="F15" s="549"/>
      <c r="G15" s="146" t="s">
        <v>368</v>
      </c>
      <c r="H15" s="214">
        <v>2350000</v>
      </c>
      <c r="I15" s="17"/>
    </row>
    <row r="16" spans="1:9" ht="14.4" customHeight="1" x14ac:dyDescent="0.25">
      <c r="A16" s="554" t="s">
        <v>586</v>
      </c>
      <c r="B16" s="555"/>
      <c r="C16" s="143" t="s">
        <v>382</v>
      </c>
      <c r="D16" s="371">
        <v>0</v>
      </c>
      <c r="E16" s="188"/>
      <c r="F16" s="547" t="s">
        <v>403</v>
      </c>
      <c r="G16" s="143" t="s">
        <v>382</v>
      </c>
      <c r="H16" s="366">
        <f t="shared" ref="H16" si="2">H18/1.27</f>
        <v>1181102.3622047245</v>
      </c>
    </row>
    <row r="17" spans="1:9" ht="14.4" x14ac:dyDescent="0.25">
      <c r="A17" s="558" t="s">
        <v>593</v>
      </c>
      <c r="B17" s="559"/>
      <c r="C17" s="144"/>
      <c r="D17" s="370"/>
      <c r="E17" s="189"/>
      <c r="F17" s="548"/>
      <c r="G17" s="144" t="s">
        <v>383</v>
      </c>
      <c r="H17" s="365">
        <f t="shared" ref="H17" si="3">H18-H16</f>
        <v>318897.63779527554</v>
      </c>
      <c r="I17" s="17"/>
    </row>
    <row r="18" spans="1:9" ht="15" thickBot="1" x14ac:dyDescent="0.3">
      <c r="A18" s="237">
        <v>2019</v>
      </c>
      <c r="B18" s="238">
        <v>43860387</v>
      </c>
      <c r="C18" s="145" t="s">
        <v>368</v>
      </c>
      <c r="D18" s="222">
        <f>SUM(D16:D17)</f>
        <v>0</v>
      </c>
      <c r="E18" s="190"/>
      <c r="F18" s="549"/>
      <c r="G18" s="145" t="s">
        <v>368</v>
      </c>
      <c r="H18" s="690">
        <v>1500000</v>
      </c>
      <c r="I18" s="17"/>
    </row>
    <row r="19" spans="1:9" ht="14.4" customHeight="1" x14ac:dyDescent="0.25">
      <c r="A19" s="554" t="s">
        <v>585</v>
      </c>
      <c r="B19" s="555"/>
      <c r="C19" s="143" t="s">
        <v>382</v>
      </c>
      <c r="D19" s="691">
        <f>23228742+5246323</f>
        <v>28475065</v>
      </c>
      <c r="E19" s="188"/>
      <c r="F19" s="547" t="s">
        <v>430</v>
      </c>
      <c r="G19" s="143" t="s">
        <v>382</v>
      </c>
      <c r="H19" s="366">
        <f t="shared" ref="H19" si="4">H21/1.27</f>
        <v>51727243.307086617</v>
      </c>
      <c r="I19" s="17"/>
    </row>
    <row r="20" spans="1:9" ht="16.8" customHeight="1" x14ac:dyDescent="0.25">
      <c r="A20" s="560" t="s">
        <v>610</v>
      </c>
      <c r="B20" s="561"/>
      <c r="C20" s="474"/>
      <c r="D20" s="370">
        <v>0</v>
      </c>
      <c r="E20" s="189"/>
      <c r="F20" s="548"/>
      <c r="G20" s="144" t="s">
        <v>383</v>
      </c>
      <c r="H20" s="365">
        <f t="shared" ref="H20" si="5">H21-H19</f>
        <v>13966355.692913383</v>
      </c>
      <c r="I20" s="17"/>
    </row>
    <row r="21" spans="1:9" ht="15" thickBot="1" x14ac:dyDescent="0.3">
      <c r="A21" s="237">
        <v>2019</v>
      </c>
      <c r="B21" s="475">
        <f>48558890+23228742</f>
        <v>71787632</v>
      </c>
      <c r="C21" s="145" t="s">
        <v>368</v>
      </c>
      <c r="D21" s="222">
        <f>SUM(D19:D20)</f>
        <v>28475065</v>
      </c>
      <c r="E21" s="190"/>
      <c r="F21" s="549"/>
      <c r="G21" s="145" t="s">
        <v>368</v>
      </c>
      <c r="H21" s="214">
        <v>65693599</v>
      </c>
      <c r="I21" s="17"/>
    </row>
    <row r="22" spans="1:9" ht="14.4" customHeight="1" x14ac:dyDescent="0.25">
      <c r="A22" s="554" t="s">
        <v>471</v>
      </c>
      <c r="B22" s="555"/>
      <c r="C22" s="147" t="s">
        <v>382</v>
      </c>
      <c r="D22" s="373">
        <v>0</v>
      </c>
      <c r="E22" s="188"/>
      <c r="F22" s="555" t="s">
        <v>471</v>
      </c>
      <c r="G22" s="147" t="s">
        <v>382</v>
      </c>
      <c r="H22" s="366">
        <f>H24/1.27</f>
        <v>23747102.362204723</v>
      </c>
      <c r="I22" s="17"/>
    </row>
    <row r="23" spans="1:9" ht="14.4" x14ac:dyDescent="0.25">
      <c r="A23" s="558" t="s">
        <v>588</v>
      </c>
      <c r="B23" s="559"/>
      <c r="C23" s="144"/>
      <c r="D23" s="370">
        <v>0</v>
      </c>
      <c r="E23" s="189"/>
      <c r="F23" s="568"/>
      <c r="G23" s="144" t="s">
        <v>383</v>
      </c>
      <c r="H23" s="365">
        <f>H24-H22</f>
        <v>6411717.6377952769</v>
      </c>
      <c r="I23" s="17"/>
    </row>
    <row r="24" spans="1:9" ht="15" thickBot="1" x14ac:dyDescent="0.3">
      <c r="A24" s="237">
        <v>2019</v>
      </c>
      <c r="B24" s="238">
        <v>29999999</v>
      </c>
      <c r="C24" s="145" t="s">
        <v>368</v>
      </c>
      <c r="D24" s="374">
        <f>SUM(D22:D23)</f>
        <v>0</v>
      </c>
      <c r="E24" s="190"/>
      <c r="F24" s="569"/>
      <c r="G24" s="145" t="s">
        <v>368</v>
      </c>
      <c r="H24" s="214">
        <v>30158820</v>
      </c>
      <c r="I24" s="17"/>
    </row>
    <row r="25" spans="1:9" ht="14.4" customHeight="1" x14ac:dyDescent="0.25">
      <c r="A25" s="554" t="s">
        <v>587</v>
      </c>
      <c r="B25" s="555"/>
      <c r="C25" s="147" t="s">
        <v>382</v>
      </c>
      <c r="D25" s="373">
        <v>0</v>
      </c>
      <c r="E25" s="188"/>
      <c r="F25" s="555" t="s">
        <v>473</v>
      </c>
      <c r="G25" s="147" t="s">
        <v>382</v>
      </c>
      <c r="H25" s="366">
        <f>H27/1.27</f>
        <v>11181102.362204725</v>
      </c>
      <c r="I25" s="17"/>
    </row>
    <row r="26" spans="1:9" ht="14.4" x14ac:dyDescent="0.25">
      <c r="A26" s="558" t="s">
        <v>588</v>
      </c>
      <c r="B26" s="559"/>
      <c r="C26" s="144"/>
      <c r="D26" s="373">
        <v>0</v>
      </c>
      <c r="E26" s="189"/>
      <c r="F26" s="568"/>
      <c r="G26" s="144" t="s">
        <v>383</v>
      </c>
      <c r="H26" s="365">
        <f>H27-H25</f>
        <v>3018897.6377952751</v>
      </c>
      <c r="I26" s="17"/>
    </row>
    <row r="27" spans="1:9" ht="15" thickBot="1" x14ac:dyDescent="0.3">
      <c r="A27" s="237">
        <v>2019</v>
      </c>
      <c r="B27" s="476">
        <v>11914981</v>
      </c>
      <c r="C27" s="145" t="s">
        <v>368</v>
      </c>
      <c r="D27" s="222">
        <f>SUM(D25:D26)</f>
        <v>0</v>
      </c>
      <c r="E27" s="190"/>
      <c r="F27" s="569"/>
      <c r="G27" s="145" t="s">
        <v>368</v>
      </c>
      <c r="H27" s="214">
        <v>14200000</v>
      </c>
      <c r="I27" s="17"/>
    </row>
    <row r="28" spans="1:9" ht="14.4" customHeight="1" x14ac:dyDescent="0.25">
      <c r="A28" s="554" t="s">
        <v>457</v>
      </c>
      <c r="B28" s="555"/>
      <c r="C28" s="147" t="s">
        <v>382</v>
      </c>
      <c r="D28" s="369">
        <v>22473501</v>
      </c>
      <c r="E28" s="188"/>
      <c r="F28" s="555" t="s">
        <v>607</v>
      </c>
      <c r="G28" s="147" t="s">
        <v>382</v>
      </c>
      <c r="H28" s="366">
        <f t="shared" ref="H28" si="6">H30/1.27</f>
        <v>14017322.83464567</v>
      </c>
      <c r="I28" s="17"/>
    </row>
    <row r="29" spans="1:9" ht="14.4" x14ac:dyDescent="0.25">
      <c r="A29" s="576" t="s">
        <v>594</v>
      </c>
      <c r="B29" s="577"/>
      <c r="C29" s="144"/>
      <c r="D29" s="370"/>
      <c r="E29" s="189"/>
      <c r="F29" s="568"/>
      <c r="G29" s="144" t="s">
        <v>383</v>
      </c>
      <c r="H29" s="365">
        <f t="shared" ref="H29" si="7">H30-H28</f>
        <v>3784677.1653543301</v>
      </c>
      <c r="I29" s="17"/>
    </row>
    <row r="30" spans="1:9" s="167" customFormat="1" ht="15" thickBot="1" x14ac:dyDescent="0.3">
      <c r="A30" s="237" t="s">
        <v>423</v>
      </c>
      <c r="B30" s="456">
        <v>22473501</v>
      </c>
      <c r="C30" s="145" t="s">
        <v>368</v>
      </c>
      <c r="D30" s="222">
        <f>SUM(D28:D29)</f>
        <v>22473501</v>
      </c>
      <c r="E30" s="190"/>
      <c r="F30" s="569"/>
      <c r="G30" s="145" t="s">
        <v>368</v>
      </c>
      <c r="H30" s="214">
        <f>19802000-2000000</f>
        <v>17802000</v>
      </c>
    </row>
    <row r="31" spans="1:9" ht="14.4" customHeight="1" x14ac:dyDescent="0.25">
      <c r="A31" s="554" t="s">
        <v>472</v>
      </c>
      <c r="B31" s="555"/>
      <c r="C31" s="147" t="s">
        <v>382</v>
      </c>
      <c r="D31" s="369">
        <v>4993767</v>
      </c>
      <c r="E31" s="188"/>
      <c r="F31" s="555" t="s">
        <v>456</v>
      </c>
      <c r="G31" s="147" t="s">
        <v>382</v>
      </c>
      <c r="H31" s="367">
        <v>3932092</v>
      </c>
      <c r="I31" s="17"/>
    </row>
    <row r="32" spans="1:9" ht="14.4" customHeight="1" x14ac:dyDescent="0.25">
      <c r="A32" s="558" t="s">
        <v>594</v>
      </c>
      <c r="B32" s="559"/>
      <c r="C32" s="144"/>
      <c r="D32" s="370">
        <v>0</v>
      </c>
      <c r="E32" s="189"/>
      <c r="F32" s="568"/>
      <c r="G32" s="144" t="s">
        <v>383</v>
      </c>
      <c r="H32" s="368">
        <v>1061675</v>
      </c>
      <c r="I32" s="17"/>
    </row>
    <row r="33" spans="1:9" ht="15" thickBot="1" x14ac:dyDescent="0.3">
      <c r="A33" s="237">
        <v>2020</v>
      </c>
      <c r="B33" s="456">
        <v>4993767</v>
      </c>
      <c r="C33" s="145" t="s">
        <v>368</v>
      </c>
      <c r="D33" s="222">
        <f>SUM(D31:D32)</f>
        <v>4993767</v>
      </c>
      <c r="E33" s="190"/>
      <c r="F33" s="569"/>
      <c r="G33" s="145" t="s">
        <v>368</v>
      </c>
      <c r="H33" s="214">
        <f>SUM(H31:H32)</f>
        <v>4993767</v>
      </c>
      <c r="I33" s="17"/>
    </row>
    <row r="34" spans="1:9" ht="14.4" customHeight="1" x14ac:dyDescent="0.25">
      <c r="A34" s="554" t="s">
        <v>505</v>
      </c>
      <c r="B34" s="555"/>
      <c r="C34" s="143" t="s">
        <v>382</v>
      </c>
      <c r="D34" s="371">
        <v>7745820</v>
      </c>
      <c r="E34" s="188"/>
      <c r="F34" s="555" t="s">
        <v>505</v>
      </c>
      <c r="G34" s="147" t="s">
        <v>382</v>
      </c>
      <c r="H34" s="367">
        <f>H36/1.27</f>
        <v>6423115.7480314961</v>
      </c>
      <c r="I34" s="17"/>
    </row>
    <row r="35" spans="1:9" ht="14.4" x14ac:dyDescent="0.25">
      <c r="A35" s="558" t="s">
        <v>595</v>
      </c>
      <c r="B35" s="559"/>
      <c r="C35" s="144"/>
      <c r="D35" s="370"/>
      <c r="E35" s="189"/>
      <c r="F35" s="568"/>
      <c r="G35" s="144" t="s">
        <v>383</v>
      </c>
      <c r="H35" s="368">
        <f>H36-H34</f>
        <v>1734241.2519685039</v>
      </c>
      <c r="I35" s="17"/>
    </row>
    <row r="36" spans="1:9" ht="15" thickBot="1" x14ac:dyDescent="0.3">
      <c r="A36" s="237" t="s">
        <v>423</v>
      </c>
      <c r="B36" s="456">
        <v>3872910</v>
      </c>
      <c r="C36" s="145" t="s">
        <v>368</v>
      </c>
      <c r="D36" s="222">
        <v>7745820</v>
      </c>
      <c r="E36" s="190"/>
      <c r="F36" s="569"/>
      <c r="G36" s="145" t="s">
        <v>368</v>
      </c>
      <c r="H36" s="214">
        <v>8157357</v>
      </c>
      <c r="I36" s="17"/>
    </row>
    <row r="37" spans="1:9" ht="14.4" customHeight="1" x14ac:dyDescent="0.25">
      <c r="A37" s="554" t="s">
        <v>515</v>
      </c>
      <c r="B37" s="555"/>
      <c r="C37" s="143" t="s">
        <v>382</v>
      </c>
      <c r="D37" s="371">
        <v>30000000</v>
      </c>
      <c r="E37" s="188"/>
      <c r="F37" s="547" t="s">
        <v>605</v>
      </c>
      <c r="G37" s="147" t="s">
        <v>382</v>
      </c>
      <c r="H37" s="367">
        <f>H39/1.27</f>
        <v>6632283.4645669293</v>
      </c>
      <c r="I37" s="17"/>
    </row>
    <row r="38" spans="1:9" s="1" customFormat="1" ht="14.4" x14ac:dyDescent="0.25">
      <c r="A38" s="558" t="s">
        <v>594</v>
      </c>
      <c r="B38" s="559"/>
      <c r="C38" s="144"/>
      <c r="D38" s="370"/>
      <c r="E38" s="189"/>
      <c r="F38" s="548"/>
      <c r="G38" s="144" t="s">
        <v>383</v>
      </c>
      <c r="H38" s="368">
        <f>H39-H37</f>
        <v>1790716.5354330707</v>
      </c>
    </row>
    <row r="39" spans="1:9" s="18" customFormat="1" ht="14.4" customHeight="1" thickBot="1" x14ac:dyDescent="0.3">
      <c r="A39" s="237" t="s">
        <v>423</v>
      </c>
      <c r="B39" s="456">
        <v>30000000</v>
      </c>
      <c r="C39" s="145" t="s">
        <v>368</v>
      </c>
      <c r="D39" s="222">
        <f>SUM(D37:D38)</f>
        <v>30000000</v>
      </c>
      <c r="E39" s="190"/>
      <c r="F39" s="549"/>
      <c r="G39" s="145" t="s">
        <v>368</v>
      </c>
      <c r="H39" s="214">
        <v>8423000</v>
      </c>
    </row>
    <row r="40" spans="1:9" ht="14.4" customHeight="1" x14ac:dyDescent="0.25">
      <c r="A40" s="554" t="s">
        <v>567</v>
      </c>
      <c r="B40" s="555"/>
      <c r="C40" s="143" t="s">
        <v>382</v>
      </c>
      <c r="D40" s="371">
        <v>4113566</v>
      </c>
      <c r="E40" s="188"/>
      <c r="F40" s="547" t="s">
        <v>567</v>
      </c>
      <c r="G40" s="147" t="s">
        <v>382</v>
      </c>
      <c r="H40" s="367">
        <v>0</v>
      </c>
      <c r="I40" s="17"/>
    </row>
    <row r="41" spans="1:9" s="1" customFormat="1" ht="14.4" customHeight="1" x14ac:dyDescent="0.25">
      <c r="A41" s="558" t="s">
        <v>594</v>
      </c>
      <c r="B41" s="559"/>
      <c r="C41" s="144"/>
      <c r="D41" s="370"/>
      <c r="E41" s="189"/>
      <c r="F41" s="548"/>
      <c r="G41" s="144" t="s">
        <v>383</v>
      </c>
      <c r="H41" s="368">
        <v>0</v>
      </c>
    </row>
    <row r="42" spans="1:9" s="18" customFormat="1" ht="15" thickBot="1" x14ac:dyDescent="0.3">
      <c r="A42" s="237" t="s">
        <v>423</v>
      </c>
      <c r="B42" s="456">
        <v>4113566</v>
      </c>
      <c r="C42" s="145" t="s">
        <v>368</v>
      </c>
      <c r="D42" s="222">
        <f>SUM(D40:D41)</f>
        <v>4113566</v>
      </c>
      <c r="E42" s="190"/>
      <c r="F42" s="549"/>
      <c r="G42" s="145" t="s">
        <v>368</v>
      </c>
      <c r="H42" s="214">
        <v>0</v>
      </c>
    </row>
    <row r="43" spans="1:9" ht="14.4" customHeight="1" x14ac:dyDescent="0.25">
      <c r="A43" s="79"/>
      <c r="B43" s="80"/>
      <c r="C43" s="148"/>
      <c r="D43" s="221"/>
      <c r="E43" s="81"/>
      <c r="F43" s="80"/>
      <c r="G43" s="148"/>
      <c r="H43" s="210"/>
      <c r="I43" s="17"/>
    </row>
    <row r="44" spans="1:9" s="1" customFormat="1" ht="14.4" customHeight="1" x14ac:dyDescent="0.3">
      <c r="A44" s="556" t="s">
        <v>1</v>
      </c>
      <c r="B44" s="556"/>
      <c r="C44" s="557"/>
      <c r="D44" s="216">
        <f>+D9+D15+D21+D18+D12+D6+D30+D24+D27+D33+D36+D39+D42</f>
        <v>98487867</v>
      </c>
      <c r="E44" s="142"/>
      <c r="F44" s="552" t="s">
        <v>372</v>
      </c>
      <c r="G44" s="553"/>
      <c r="H44" s="216">
        <f>H9+H15+H21+H18+H12+H6+H30+H24+H27+H33+H36+H39+H42</f>
        <v>155916015</v>
      </c>
      <c r="I44" s="180"/>
    </row>
    <row r="45" spans="1:9" s="18" customFormat="1" ht="14.4" x14ac:dyDescent="0.25">
      <c r="A45" s="297"/>
      <c r="B45" s="223"/>
      <c r="C45" s="149"/>
      <c r="D45" s="223"/>
      <c r="E45" s="75"/>
      <c r="F45" s="74"/>
      <c r="G45" s="149"/>
      <c r="H45" s="217"/>
      <c r="I45" s="16"/>
    </row>
    <row r="46" spans="1:9" ht="14.4" customHeight="1" thickBot="1" x14ac:dyDescent="0.3">
      <c r="A46" s="539" t="s">
        <v>47</v>
      </c>
      <c r="B46" s="539"/>
      <c r="C46" s="539"/>
      <c r="D46" s="540"/>
      <c r="E46" s="289"/>
      <c r="F46" s="550" t="s">
        <v>44</v>
      </c>
      <c r="G46" s="550"/>
      <c r="H46" s="551"/>
    </row>
    <row r="47" spans="1:9" s="1" customFormat="1" ht="14.4" customHeight="1" x14ac:dyDescent="0.3">
      <c r="A47" s="541"/>
      <c r="B47" s="542"/>
      <c r="C47" s="144" t="s">
        <v>382</v>
      </c>
      <c r="D47" s="218"/>
      <c r="E47" s="76"/>
      <c r="F47" s="547" t="s">
        <v>629</v>
      </c>
      <c r="G47" s="147" t="s">
        <v>382</v>
      </c>
      <c r="H47" s="215">
        <v>320000</v>
      </c>
      <c r="I47" s="180"/>
    </row>
    <row r="48" spans="1:9" s="18" customFormat="1" ht="14.4" x14ac:dyDescent="0.3">
      <c r="A48" s="543"/>
      <c r="B48" s="544"/>
      <c r="C48" s="144"/>
      <c r="D48" s="218"/>
      <c r="E48" s="77"/>
      <c r="F48" s="548"/>
      <c r="G48" s="144" t="s">
        <v>383</v>
      </c>
      <c r="H48" s="212">
        <v>0</v>
      </c>
      <c r="I48" s="16"/>
    </row>
    <row r="49" spans="1:9" ht="14.4" x14ac:dyDescent="0.3">
      <c r="A49" s="545"/>
      <c r="B49" s="546"/>
      <c r="C49" s="145" t="s">
        <v>368</v>
      </c>
      <c r="D49" s="213">
        <f>SUM(D47:D48)</f>
        <v>0</v>
      </c>
      <c r="E49" s="78"/>
      <c r="F49" s="549"/>
      <c r="G49" s="145" t="s">
        <v>368</v>
      </c>
      <c r="H49" s="213">
        <f>SUM(H47:H48)</f>
        <v>320000</v>
      </c>
    </row>
    <row r="50" spans="1:9" s="1" customFormat="1" ht="14.4" x14ac:dyDescent="0.3">
      <c r="A50" s="541"/>
      <c r="B50" s="542"/>
      <c r="C50" s="144" t="s">
        <v>382</v>
      </c>
      <c r="D50" s="218"/>
      <c r="E50" s="76"/>
      <c r="F50" s="547" t="s">
        <v>628</v>
      </c>
      <c r="G50" s="147" t="s">
        <v>382</v>
      </c>
      <c r="H50" s="215">
        <f>H52/1.27</f>
        <v>2776377.9527559057</v>
      </c>
      <c r="I50" s="180"/>
    </row>
    <row r="51" spans="1:9" ht="14.4" customHeight="1" x14ac:dyDescent="0.3">
      <c r="A51" s="543"/>
      <c r="B51" s="544"/>
      <c r="C51" s="144"/>
      <c r="D51" s="218"/>
      <c r="E51" s="77"/>
      <c r="F51" s="548"/>
      <c r="G51" s="144" t="s">
        <v>383</v>
      </c>
      <c r="H51" s="212">
        <f>H50*0.27</f>
        <v>749622.04724409455</v>
      </c>
    </row>
    <row r="52" spans="1:9" ht="15" thickBot="1" x14ac:dyDescent="0.35">
      <c r="A52" s="545"/>
      <c r="B52" s="546"/>
      <c r="C52" s="145" t="s">
        <v>368</v>
      </c>
      <c r="D52" s="213">
        <f>SUM(D50:D51)</f>
        <v>0</v>
      </c>
      <c r="E52" s="78"/>
      <c r="F52" s="549"/>
      <c r="G52" s="145" t="s">
        <v>368</v>
      </c>
      <c r="H52" s="213">
        <f>3500000+26000</f>
        <v>3526000</v>
      </c>
    </row>
    <row r="53" spans="1:9" ht="14.4" customHeight="1" x14ac:dyDescent="0.3">
      <c r="A53" s="541"/>
      <c r="B53" s="542"/>
      <c r="C53" s="144" t="s">
        <v>382</v>
      </c>
      <c r="D53" s="218"/>
      <c r="E53" s="76"/>
      <c r="F53" s="547" t="s">
        <v>458</v>
      </c>
      <c r="G53" s="147" t="s">
        <v>382</v>
      </c>
      <c r="H53" s="215">
        <f>H55/1.27</f>
        <v>2016050.3937007873</v>
      </c>
    </row>
    <row r="54" spans="1:9" ht="14.4" x14ac:dyDescent="0.3">
      <c r="A54" s="543"/>
      <c r="B54" s="544"/>
      <c r="C54" s="144"/>
      <c r="D54" s="218"/>
      <c r="E54" s="77"/>
      <c r="F54" s="548"/>
      <c r="G54" s="144" t="s">
        <v>383</v>
      </c>
      <c r="H54" s="212">
        <f>H55-H53</f>
        <v>544333.60629921267</v>
      </c>
    </row>
    <row r="55" spans="1:9" ht="15" thickBot="1" x14ac:dyDescent="0.35">
      <c r="A55" s="545"/>
      <c r="B55" s="546"/>
      <c r="C55" s="145" t="s">
        <v>368</v>
      </c>
      <c r="D55" s="213">
        <f>SUM(D53:D54)</f>
        <v>0</v>
      </c>
      <c r="E55" s="78"/>
      <c r="F55" s="549"/>
      <c r="G55" s="145" t="s">
        <v>368</v>
      </c>
      <c r="H55" s="213">
        <f>4307212-1746828</f>
        <v>2560384</v>
      </c>
    </row>
    <row r="56" spans="1:9" ht="14.4" customHeight="1" x14ac:dyDescent="0.25">
      <c r="A56" s="554" t="s">
        <v>460</v>
      </c>
      <c r="B56" s="555"/>
      <c r="C56" s="147" t="s">
        <v>382</v>
      </c>
      <c r="D56" s="369">
        <v>0</v>
      </c>
      <c r="E56" s="188"/>
      <c r="F56" s="555" t="s">
        <v>460</v>
      </c>
      <c r="G56" s="147" t="s">
        <v>382</v>
      </c>
      <c r="H56" s="366">
        <f>H58/1.27</f>
        <v>4826299.2125984253</v>
      </c>
    </row>
    <row r="57" spans="1:9" ht="14.4" x14ac:dyDescent="0.25">
      <c r="A57" s="558" t="s">
        <v>588</v>
      </c>
      <c r="B57" s="559"/>
      <c r="C57" s="144"/>
      <c r="D57" s="370">
        <v>0</v>
      </c>
      <c r="E57" s="189"/>
      <c r="F57" s="568"/>
      <c r="G57" s="144" t="s">
        <v>383</v>
      </c>
      <c r="H57" s="365">
        <f>H58-H56</f>
        <v>1303100.7874015747</v>
      </c>
    </row>
    <row r="58" spans="1:9" ht="15" thickBot="1" x14ac:dyDescent="0.3">
      <c r="A58" s="237">
        <v>2019</v>
      </c>
      <c r="B58" s="238" t="s">
        <v>502</v>
      </c>
      <c r="C58" s="166" t="s">
        <v>368</v>
      </c>
      <c r="D58" s="222">
        <f>SUM(D56:D57)</f>
        <v>0</v>
      </c>
      <c r="E58" s="191"/>
      <c r="F58" s="569"/>
      <c r="G58" s="166" t="s">
        <v>368</v>
      </c>
      <c r="H58" s="214">
        <v>6129400</v>
      </c>
    </row>
    <row r="59" spans="1:9" ht="14.4" x14ac:dyDescent="0.25">
      <c r="A59" s="554" t="s">
        <v>590</v>
      </c>
      <c r="B59" s="555"/>
      <c r="C59" s="147" t="s">
        <v>382</v>
      </c>
      <c r="D59" s="369">
        <v>5204804</v>
      </c>
      <c r="E59" s="188"/>
      <c r="F59" s="555" t="s">
        <v>606</v>
      </c>
      <c r="G59" s="147" t="s">
        <v>382</v>
      </c>
      <c r="H59" s="366">
        <f>H61/1.27</f>
        <v>0</v>
      </c>
    </row>
    <row r="60" spans="1:9" s="1" customFormat="1" ht="14.4" x14ac:dyDescent="0.25">
      <c r="A60" s="558" t="s">
        <v>591</v>
      </c>
      <c r="B60" s="559"/>
      <c r="C60" s="144"/>
      <c r="D60" s="370">
        <v>0</v>
      </c>
      <c r="E60" s="189"/>
      <c r="F60" s="568"/>
      <c r="G60" s="144" t="s">
        <v>383</v>
      </c>
      <c r="H60" s="365">
        <f>H61-H59</f>
        <v>0</v>
      </c>
      <c r="I60" s="180"/>
    </row>
    <row r="61" spans="1:9" ht="15" thickBot="1" x14ac:dyDescent="0.3">
      <c r="A61" s="237">
        <v>2020</v>
      </c>
      <c r="B61" s="238">
        <v>5204804</v>
      </c>
      <c r="C61" s="145" t="s">
        <v>368</v>
      </c>
      <c r="D61" s="222">
        <f>D59</f>
        <v>5204804</v>
      </c>
      <c r="E61" s="190"/>
      <c r="F61" s="569"/>
      <c r="G61" s="145" t="s">
        <v>368</v>
      </c>
      <c r="H61" s="214">
        <v>0</v>
      </c>
    </row>
    <row r="62" spans="1:9" ht="14.4" customHeight="1" x14ac:dyDescent="0.25">
      <c r="A62" s="554" t="s">
        <v>515</v>
      </c>
      <c r="B62" s="555"/>
      <c r="C62" s="143" t="s">
        <v>382</v>
      </c>
      <c r="D62" s="371">
        <v>0</v>
      </c>
      <c r="E62" s="188"/>
      <c r="F62" s="547" t="s">
        <v>605</v>
      </c>
      <c r="G62" s="147" t="s">
        <v>382</v>
      </c>
      <c r="H62" s="367">
        <f>H64/1.27</f>
        <v>1181102.3622047245</v>
      </c>
    </row>
    <row r="63" spans="1:9" s="1" customFormat="1" ht="14.4" x14ac:dyDescent="0.25">
      <c r="A63" s="558" t="s">
        <v>594</v>
      </c>
      <c r="B63" s="559"/>
      <c r="C63" s="144"/>
      <c r="D63" s="370"/>
      <c r="E63" s="189"/>
      <c r="F63" s="548"/>
      <c r="G63" s="144" t="s">
        <v>383</v>
      </c>
      <c r="H63" s="368">
        <f>H64-H62</f>
        <v>318897.63779527554</v>
      </c>
      <c r="I63" s="180"/>
    </row>
    <row r="64" spans="1:9" s="18" customFormat="1" ht="14.4" customHeight="1" thickBot="1" x14ac:dyDescent="0.3">
      <c r="A64" s="237" t="s">
        <v>423</v>
      </c>
      <c r="B64" s="456">
        <v>30000000</v>
      </c>
      <c r="C64" s="145" t="s">
        <v>368</v>
      </c>
      <c r="D64" s="222">
        <f>SUM(D62:D63)</f>
        <v>0</v>
      </c>
      <c r="E64" s="190"/>
      <c r="F64" s="549"/>
      <c r="G64" s="145" t="s">
        <v>368</v>
      </c>
      <c r="H64" s="214">
        <v>1500000</v>
      </c>
      <c r="I64" s="16"/>
    </row>
    <row r="65" spans="1:9" ht="14.4" customHeight="1" x14ac:dyDescent="0.25">
      <c r="A65" s="554" t="s">
        <v>457</v>
      </c>
      <c r="B65" s="555"/>
      <c r="C65" s="147" t="s">
        <v>382</v>
      </c>
      <c r="D65" s="369">
        <v>0</v>
      </c>
      <c r="E65" s="188"/>
      <c r="F65" s="555" t="s">
        <v>607</v>
      </c>
      <c r="G65" s="147" t="s">
        <v>382</v>
      </c>
      <c r="H65" s="366">
        <f>H67/1.27</f>
        <v>1574803.1496062991</v>
      </c>
    </row>
    <row r="66" spans="1:9" s="1" customFormat="1" ht="14.4" customHeight="1" x14ac:dyDescent="0.25">
      <c r="A66" s="576" t="s">
        <v>594</v>
      </c>
      <c r="B66" s="577"/>
      <c r="C66" s="144"/>
      <c r="D66" s="370"/>
      <c r="E66" s="189"/>
      <c r="F66" s="568"/>
      <c r="G66" s="144" t="s">
        <v>383</v>
      </c>
      <c r="H66" s="365">
        <f>H67-H65</f>
        <v>425196.85039370088</v>
      </c>
      <c r="I66" s="180"/>
    </row>
    <row r="67" spans="1:9" ht="15" thickBot="1" x14ac:dyDescent="0.3">
      <c r="A67" s="237" t="s">
        <v>423</v>
      </c>
      <c r="B67" s="456">
        <v>22473501</v>
      </c>
      <c r="C67" s="145" t="s">
        <v>368</v>
      </c>
      <c r="D67" s="222">
        <f>SUM(D65:D66)</f>
        <v>0</v>
      </c>
      <c r="E67" s="190"/>
      <c r="F67" s="569"/>
      <c r="G67" s="145" t="s">
        <v>368</v>
      </c>
      <c r="H67" s="214">
        <v>2000000</v>
      </c>
    </row>
    <row r="68" spans="1:9" ht="14.4" x14ac:dyDescent="0.25">
      <c r="A68" s="79"/>
      <c r="B68" s="80"/>
      <c r="C68" s="148"/>
      <c r="D68" s="221"/>
      <c r="E68" s="81"/>
      <c r="F68" s="80"/>
      <c r="G68" s="148"/>
      <c r="H68" s="210"/>
    </row>
    <row r="69" spans="1:9" s="2" customFormat="1" ht="15.6" x14ac:dyDescent="0.3">
      <c r="A69" s="570" t="s">
        <v>1</v>
      </c>
      <c r="B69" s="570"/>
      <c r="C69" s="553"/>
      <c r="D69" s="216">
        <f>D49+D52+D55+D58+D61+D64+D67</f>
        <v>5204804</v>
      </c>
      <c r="E69" s="142"/>
      <c r="F69" s="552" t="s">
        <v>373</v>
      </c>
      <c r="G69" s="553"/>
      <c r="H69" s="216">
        <f>H49+H52+H55+H61+H58+H64+H67</f>
        <v>16035784</v>
      </c>
      <c r="I69" s="469"/>
    </row>
    <row r="70" spans="1:9" s="20" customFormat="1" ht="15.6" x14ac:dyDescent="0.3">
      <c r="A70" s="149"/>
      <c r="B70" s="149"/>
      <c r="C70" s="149"/>
      <c r="D70" s="223"/>
      <c r="E70" s="141"/>
      <c r="F70" s="74"/>
      <c r="G70" s="149"/>
      <c r="H70" s="217"/>
      <c r="I70" s="470"/>
    </row>
    <row r="71" spans="1:9" s="20" customFormat="1" ht="15.6" x14ac:dyDescent="0.3">
      <c r="A71" s="573" t="s">
        <v>270</v>
      </c>
      <c r="B71" s="573"/>
      <c r="C71" s="573"/>
      <c r="D71" s="574"/>
      <c r="E71" s="142"/>
      <c r="F71" s="575" t="s">
        <v>270</v>
      </c>
      <c r="G71" s="550"/>
      <c r="H71" s="551"/>
      <c r="I71" s="470"/>
    </row>
    <row r="72" spans="1:9" s="20" customFormat="1" ht="15.6" x14ac:dyDescent="0.3">
      <c r="A72" s="588" t="s">
        <v>478</v>
      </c>
      <c r="B72" s="589"/>
      <c r="C72" s="590"/>
      <c r="D72" s="224">
        <f>D25</f>
        <v>0</v>
      </c>
      <c r="E72" s="141"/>
      <c r="F72" s="597" t="s">
        <v>386</v>
      </c>
      <c r="G72" s="572"/>
      <c r="H72" s="226">
        <f>H47+H59</f>
        <v>320000</v>
      </c>
      <c r="I72" s="470"/>
    </row>
    <row r="73" spans="1:9" ht="14.4" customHeight="1" x14ac:dyDescent="0.3">
      <c r="A73" s="591" t="s">
        <v>476</v>
      </c>
      <c r="B73" s="589"/>
      <c r="C73" s="590"/>
      <c r="D73" s="224">
        <f>D74+D21+D56+D24+D57+D42</f>
        <v>68479583</v>
      </c>
      <c r="E73" s="73"/>
      <c r="F73" s="597" t="s">
        <v>315</v>
      </c>
      <c r="G73" s="572"/>
      <c r="H73" s="226">
        <f>H53+H56+H50+H62+H65</f>
        <v>12374633.070866141</v>
      </c>
    </row>
    <row r="74" spans="1:9" ht="15.6" customHeight="1" x14ac:dyDescent="0.3">
      <c r="A74" s="592" t="s">
        <v>474</v>
      </c>
      <c r="B74" s="593"/>
      <c r="C74" s="594"/>
      <c r="D74" s="225">
        <f>+D9+D18+D12+D6+D15+D61+D39</f>
        <v>35890952</v>
      </c>
      <c r="E74" s="73"/>
      <c r="F74" s="597" t="s">
        <v>470</v>
      </c>
      <c r="G74" s="572"/>
      <c r="H74" s="226">
        <f>H48+H54+H60+H57+H51+H63+H66</f>
        <v>3341150.9291338585</v>
      </c>
    </row>
    <row r="75" spans="1:9" ht="16.2" customHeight="1" x14ac:dyDescent="0.3">
      <c r="A75" s="584" t="s">
        <v>500</v>
      </c>
      <c r="B75" s="585"/>
      <c r="C75" s="586"/>
      <c r="D75" s="219">
        <f>SUM(D72:D73)</f>
        <v>68479583</v>
      </c>
      <c r="E75" s="73"/>
      <c r="F75" s="571" t="s">
        <v>498</v>
      </c>
      <c r="G75" s="571"/>
      <c r="H75" s="219">
        <f>SUM(H72:H74)</f>
        <v>16035784</v>
      </c>
    </row>
    <row r="76" spans="1:9" s="1" customFormat="1" ht="14.4" x14ac:dyDescent="0.3">
      <c r="A76" s="595" t="s">
        <v>477</v>
      </c>
      <c r="B76" s="595"/>
      <c r="C76" s="596"/>
      <c r="D76" s="224">
        <f>D30+D33+D36</f>
        <v>35213088</v>
      </c>
      <c r="E76" s="73"/>
      <c r="F76" s="572" t="s">
        <v>301</v>
      </c>
      <c r="G76" s="572"/>
      <c r="H76" s="226">
        <f>H7+H13+H19+H16+H10+H4+H28+H22+H25+H31+H34+H37+H40</f>
        <v>122768507.74803151</v>
      </c>
      <c r="I76" s="180"/>
    </row>
    <row r="77" spans="1:9" ht="14.4" x14ac:dyDescent="0.3">
      <c r="A77" s="584" t="s">
        <v>499</v>
      </c>
      <c r="B77" s="585"/>
      <c r="C77" s="586"/>
      <c r="D77" s="219">
        <f>SUM(D76)</f>
        <v>35213088</v>
      </c>
      <c r="E77" s="73"/>
      <c r="F77" s="572" t="s">
        <v>475</v>
      </c>
      <c r="G77" s="572"/>
      <c r="H77" s="226">
        <f>H8+H14+H20+H17+H11+H5+H29+H23+H26+H32+H35+H38+H41</f>
        <v>33147507.251968496</v>
      </c>
    </row>
    <row r="78" spans="1:9" ht="14.4" customHeight="1" x14ac:dyDescent="0.3">
      <c r="A78" s="578"/>
      <c r="B78" s="579"/>
      <c r="C78" s="580"/>
      <c r="D78" s="229"/>
      <c r="E78" s="73"/>
      <c r="F78" s="571" t="s">
        <v>372</v>
      </c>
      <c r="G78" s="571"/>
      <c r="H78" s="219">
        <f>SUM(H76:H77)</f>
        <v>155916015</v>
      </c>
    </row>
    <row r="79" spans="1:9" ht="14.4" customHeight="1" x14ac:dyDescent="0.3">
      <c r="A79" s="581" t="s">
        <v>459</v>
      </c>
      <c r="B79" s="582"/>
      <c r="C79" s="583"/>
      <c r="D79" s="230">
        <f>D75+D77</f>
        <v>103692671</v>
      </c>
      <c r="E79" s="141"/>
      <c r="F79" s="587" t="s">
        <v>374</v>
      </c>
      <c r="G79" s="587"/>
      <c r="H79" s="220">
        <f>H75+H78</f>
        <v>171951799</v>
      </c>
    </row>
    <row r="80" spans="1:9" x14ac:dyDescent="0.25">
      <c r="C80" s="150" t="s">
        <v>469</v>
      </c>
      <c r="D80" s="16">
        <f>(D44+D69)-D79</f>
        <v>0</v>
      </c>
      <c r="G80" s="150" t="s">
        <v>469</v>
      </c>
      <c r="H80" s="16">
        <f>(H44+H69)-H79</f>
        <v>0</v>
      </c>
    </row>
    <row r="82" spans="4:8" x14ac:dyDescent="0.25">
      <c r="F82" s="19"/>
    </row>
    <row r="85" spans="4:8" x14ac:dyDescent="0.25">
      <c r="D85" s="16"/>
      <c r="H85" s="16"/>
    </row>
  </sheetData>
  <mergeCells count="84">
    <mergeCell ref="F22:F24"/>
    <mergeCell ref="A23:B23"/>
    <mergeCell ref="A22:B22"/>
    <mergeCell ref="A26:B26"/>
    <mergeCell ref="A25:B25"/>
    <mergeCell ref="F28:F30"/>
    <mergeCell ref="F31:F33"/>
    <mergeCell ref="F25:F27"/>
    <mergeCell ref="F34:F36"/>
    <mergeCell ref="A32:B32"/>
    <mergeCell ref="A31:B31"/>
    <mergeCell ref="A29:B29"/>
    <mergeCell ref="A28:B28"/>
    <mergeCell ref="A35:B35"/>
    <mergeCell ref="A34:B34"/>
    <mergeCell ref="A79:C79"/>
    <mergeCell ref="A77:C77"/>
    <mergeCell ref="F79:G79"/>
    <mergeCell ref="F75:G75"/>
    <mergeCell ref="A72:C72"/>
    <mergeCell ref="A73:C73"/>
    <mergeCell ref="F77:G77"/>
    <mergeCell ref="A74:C74"/>
    <mergeCell ref="A75:C75"/>
    <mergeCell ref="A76:C76"/>
    <mergeCell ref="F72:G72"/>
    <mergeCell ref="F74:G74"/>
    <mergeCell ref="F73:G73"/>
    <mergeCell ref="F50:F52"/>
    <mergeCell ref="F53:F55"/>
    <mergeCell ref="A56:B56"/>
    <mergeCell ref="A59:B59"/>
    <mergeCell ref="A60:B60"/>
    <mergeCell ref="A57:B57"/>
    <mergeCell ref="A53:B55"/>
    <mergeCell ref="A50:B52"/>
    <mergeCell ref="A69:C69"/>
    <mergeCell ref="F78:G78"/>
    <mergeCell ref="F76:G76"/>
    <mergeCell ref="F56:F58"/>
    <mergeCell ref="F59:F61"/>
    <mergeCell ref="F69:G69"/>
    <mergeCell ref="A71:D71"/>
    <mergeCell ref="F71:H71"/>
    <mergeCell ref="A65:B65"/>
    <mergeCell ref="F65:F67"/>
    <mergeCell ref="A66:B66"/>
    <mergeCell ref="A62:B62"/>
    <mergeCell ref="F62:F64"/>
    <mergeCell ref="A63:B63"/>
    <mergeCell ref="A78:C78"/>
    <mergeCell ref="A1:H1"/>
    <mergeCell ref="A3:D3"/>
    <mergeCell ref="F3:H3"/>
    <mergeCell ref="F16:F18"/>
    <mergeCell ref="F4:F6"/>
    <mergeCell ref="F7:F9"/>
    <mergeCell ref="F13:F15"/>
    <mergeCell ref="F10:F12"/>
    <mergeCell ref="A4:B4"/>
    <mergeCell ref="A7:B7"/>
    <mergeCell ref="A10:B10"/>
    <mergeCell ref="A5:B5"/>
    <mergeCell ref="A8:B8"/>
    <mergeCell ref="A11:B11"/>
    <mergeCell ref="F19:F21"/>
    <mergeCell ref="A14:B14"/>
    <mergeCell ref="A17:B17"/>
    <mergeCell ref="A20:B20"/>
    <mergeCell ref="A13:B13"/>
    <mergeCell ref="A16:B16"/>
    <mergeCell ref="A19:B19"/>
    <mergeCell ref="A46:D46"/>
    <mergeCell ref="A47:B49"/>
    <mergeCell ref="F37:F39"/>
    <mergeCell ref="F40:F42"/>
    <mergeCell ref="F46:H46"/>
    <mergeCell ref="F44:G44"/>
    <mergeCell ref="A37:B37"/>
    <mergeCell ref="A44:C44"/>
    <mergeCell ref="A38:B38"/>
    <mergeCell ref="A40:B40"/>
    <mergeCell ref="A41:B41"/>
    <mergeCell ref="F47:F49"/>
  </mergeCells>
  <pageMargins left="0.39370078740157483" right="0.39370078740157483" top="0.78740157480314965" bottom="0.39370078740157483" header="0.31496062992125984" footer="0.31496062992125984"/>
  <pageSetup paperSize="9" scale="63" orientation="portrait" r:id="rId1"/>
  <headerFooter>
    <oddHeader>&amp;R1./c sz. melléklet
Ft-ban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6">
    <pageSetUpPr fitToPage="1"/>
  </sheetPr>
  <dimension ref="A1:K85"/>
  <sheetViews>
    <sheetView topLeftCell="A4" zoomScale="60" zoomScaleNormal="60" workbookViewId="0">
      <selection activeCell="J31" sqref="J31"/>
    </sheetView>
  </sheetViews>
  <sheetFormatPr defaultRowHeight="13.2" x14ac:dyDescent="0.25"/>
  <cols>
    <col min="1" max="1" width="6.44140625" bestFit="1" customWidth="1"/>
    <col min="2" max="2" width="6.33203125" customWidth="1"/>
    <col min="3" max="3" width="5.6640625" customWidth="1"/>
    <col min="4" max="4" width="55.88671875" customWidth="1"/>
    <col min="5" max="5" width="16.88671875" style="161" bestFit="1" customWidth="1"/>
    <col min="6" max="6" width="14.5546875" style="99" bestFit="1" customWidth="1"/>
    <col min="7" max="7" width="18.21875" style="101" customWidth="1"/>
    <col min="8" max="8" width="14.88671875" style="99" bestFit="1" customWidth="1"/>
    <col min="9" max="9" width="13.6640625" style="99" bestFit="1" customWidth="1"/>
    <col min="11" max="11" width="12.88671875" bestFit="1" customWidth="1"/>
  </cols>
  <sheetData>
    <row r="1" spans="1:9" ht="18" x14ac:dyDescent="0.25">
      <c r="A1" s="499" t="s">
        <v>78</v>
      </c>
      <c r="B1" s="499"/>
      <c r="C1" s="499"/>
      <c r="D1" s="499"/>
      <c r="E1" s="499"/>
      <c r="F1" s="499"/>
      <c r="G1" s="499"/>
      <c r="H1" s="499"/>
      <c r="I1" s="499"/>
    </row>
    <row r="2" spans="1:9" ht="18" x14ac:dyDescent="0.25">
      <c r="A2" s="529" t="s">
        <v>484</v>
      </c>
      <c r="B2" s="529"/>
      <c r="C2" s="529"/>
      <c r="D2" s="529"/>
      <c r="E2" s="529"/>
      <c r="F2" s="529"/>
      <c r="G2" s="529"/>
      <c r="H2" s="529"/>
      <c r="I2" s="529"/>
    </row>
    <row r="3" spans="1:9" ht="15.6" x14ac:dyDescent="0.25">
      <c r="A3" s="44"/>
      <c r="B3" s="44"/>
      <c r="C3" s="44"/>
      <c r="D3" s="44"/>
      <c r="E3" s="239"/>
      <c r="F3" s="401"/>
      <c r="G3" s="401"/>
      <c r="H3" s="401"/>
      <c r="I3" s="401"/>
    </row>
    <row r="4" spans="1:9" ht="31.8" thickBot="1" x14ac:dyDescent="0.3">
      <c r="A4" s="646" t="s">
        <v>397</v>
      </c>
      <c r="B4" s="646"/>
      <c r="C4" s="646"/>
      <c r="D4" s="647"/>
      <c r="E4" s="247" t="s">
        <v>483</v>
      </c>
      <c r="F4" s="187" t="s">
        <v>466</v>
      </c>
      <c r="G4" s="187" t="s">
        <v>443</v>
      </c>
      <c r="H4" s="187" t="s">
        <v>444</v>
      </c>
      <c r="I4" s="187" t="s">
        <v>445</v>
      </c>
    </row>
    <row r="5" spans="1:9" ht="15.6" x14ac:dyDescent="0.25">
      <c r="A5" s="293"/>
      <c r="B5" s="380"/>
      <c r="C5" s="384" t="s">
        <v>516</v>
      </c>
      <c r="D5" s="385" t="s">
        <v>522</v>
      </c>
      <c r="E5" s="648">
        <v>180451813</v>
      </c>
      <c r="F5" s="248">
        <f>'1a).Normatíva'!C14</f>
        <v>71214039</v>
      </c>
      <c r="G5" s="248">
        <f>'1a).Normatíva'!D14+'1a).Normatíva'!D50</f>
        <v>71415039</v>
      </c>
      <c r="H5" s="248">
        <f>'1a).Normatíva'!E14+'1a).Normatíva'!E50</f>
        <v>71915039</v>
      </c>
      <c r="I5" s="402"/>
    </row>
    <row r="6" spans="1:9" ht="15.6" x14ac:dyDescent="0.25">
      <c r="A6" s="380"/>
      <c r="B6" s="380"/>
      <c r="C6" s="384" t="s">
        <v>517</v>
      </c>
      <c r="D6" s="385" t="s">
        <v>523</v>
      </c>
      <c r="E6" s="649"/>
      <c r="F6" s="248">
        <f>'1a).Normatíva'!C22</f>
        <v>47681442</v>
      </c>
      <c r="G6" s="248">
        <f>'1a).Normatíva'!D22+'1a).Normatíva'!D52</f>
        <v>51159527</v>
      </c>
      <c r="H6" s="248">
        <f>'1a).Normatíva'!E22+'1a).Normatíva'!E52</f>
        <v>49184975</v>
      </c>
      <c r="I6" s="402"/>
    </row>
    <row r="7" spans="1:9" ht="15.6" x14ac:dyDescent="0.25">
      <c r="A7" s="380"/>
      <c r="B7" s="380"/>
      <c r="C7" s="384" t="s">
        <v>518</v>
      </c>
      <c r="D7" s="385" t="s">
        <v>524</v>
      </c>
      <c r="E7" s="649"/>
      <c r="F7" s="248">
        <f>'1a).Normatíva'!C41+'1a).Normatíva'!C56</f>
        <v>56092060</v>
      </c>
      <c r="G7" s="248">
        <f>'1a).Normatíva'!D41+'1a).Normatíva'!D57</f>
        <v>59118661</v>
      </c>
      <c r="H7" s="248">
        <f>'1a).Normatíva'!E41+'1a).Normatíva'!E57</f>
        <v>62817810</v>
      </c>
      <c r="I7" s="402"/>
    </row>
    <row r="8" spans="1:9" ht="15.6" x14ac:dyDescent="0.25">
      <c r="A8" s="380"/>
      <c r="B8" s="380"/>
      <c r="C8" s="384" t="s">
        <v>519</v>
      </c>
      <c r="D8" s="385" t="s">
        <v>525</v>
      </c>
      <c r="E8" s="649"/>
      <c r="F8" s="248">
        <f>'1a).Normatíva'!C43+'1a).Normatíva'!C59</f>
        <v>3960514</v>
      </c>
      <c r="G8" s="248">
        <f>'1a).Normatíva'!D43+'1a).Normatíva'!D60</f>
        <v>5256534</v>
      </c>
      <c r="H8" s="248">
        <f>'1a).Normatíva'!E43+'1a).Normatíva'!E60</f>
        <v>5304534</v>
      </c>
      <c r="I8" s="402"/>
    </row>
    <row r="9" spans="1:9" ht="15.6" x14ac:dyDescent="0.25">
      <c r="A9" s="380"/>
      <c r="B9" s="380"/>
      <c r="C9" s="384" t="s">
        <v>520</v>
      </c>
      <c r="D9" s="385" t="s">
        <v>526</v>
      </c>
      <c r="E9" s="649"/>
      <c r="F9" s="248">
        <v>0</v>
      </c>
      <c r="G9" s="248">
        <v>0</v>
      </c>
      <c r="H9" s="248">
        <f>'1a).Normatíva'!E61</f>
        <v>2514600</v>
      </c>
      <c r="I9" s="402"/>
    </row>
    <row r="10" spans="1:9" ht="15.6" x14ac:dyDescent="0.25">
      <c r="A10" s="380"/>
      <c r="B10" s="380"/>
      <c r="C10" s="384" t="s">
        <v>521</v>
      </c>
      <c r="D10" s="385" t="s">
        <v>527</v>
      </c>
      <c r="E10" s="649"/>
      <c r="F10" s="248">
        <v>49056</v>
      </c>
      <c r="G10" s="248">
        <v>49056</v>
      </c>
      <c r="H10" s="248">
        <v>49056</v>
      </c>
      <c r="I10" s="402"/>
    </row>
    <row r="11" spans="1:9" ht="15.6" x14ac:dyDescent="0.25">
      <c r="A11" s="380"/>
      <c r="B11" s="386" t="s">
        <v>528</v>
      </c>
      <c r="C11" s="505" t="s">
        <v>141</v>
      </c>
      <c r="D11" s="506"/>
      <c r="E11" s="650"/>
      <c r="F11" s="251">
        <f>SUM(F5:F10)</f>
        <v>178997111</v>
      </c>
      <c r="G11" s="251">
        <f>SUM(G5:G10)</f>
        <v>186998817</v>
      </c>
      <c r="H11" s="251">
        <f>SUM(H5:H10)</f>
        <v>191786014</v>
      </c>
      <c r="I11" s="251"/>
    </row>
    <row r="12" spans="1:9" ht="15.6" x14ac:dyDescent="0.25">
      <c r="A12" s="282"/>
      <c r="B12" s="282" t="s">
        <v>289</v>
      </c>
      <c r="C12" s="640" t="s">
        <v>290</v>
      </c>
      <c r="D12" s="503"/>
      <c r="E12" s="440">
        <v>52721775</v>
      </c>
      <c r="F12" s="249">
        <f>'1a).Normatíva'!C81</f>
        <v>45534329</v>
      </c>
      <c r="G12" s="249">
        <f>'1a).Normatíva'!D81</f>
        <v>47837042</v>
      </c>
      <c r="H12" s="249">
        <f>'1a).Normatíva'!E81</f>
        <v>46885037</v>
      </c>
      <c r="I12" s="403"/>
    </row>
    <row r="13" spans="1:9" s="1" customFormat="1" ht="15.6" x14ac:dyDescent="0.25">
      <c r="A13" s="283" t="s">
        <v>139</v>
      </c>
      <c r="B13" s="500" t="s">
        <v>140</v>
      </c>
      <c r="C13" s="500"/>
      <c r="D13" s="501"/>
      <c r="E13" s="357">
        <f>SUM(E5:E12)</f>
        <v>233173588</v>
      </c>
      <c r="F13" s="251">
        <f>SUM(F11:F12)</f>
        <v>224531440</v>
      </c>
      <c r="G13" s="251">
        <f>SUM(G11:G12)</f>
        <v>234835859</v>
      </c>
      <c r="H13" s="251">
        <f>SUM(H11:H12)</f>
        <v>238671051</v>
      </c>
      <c r="I13" s="357"/>
    </row>
    <row r="14" spans="1:9" ht="15.6" x14ac:dyDescent="0.25">
      <c r="A14" s="282"/>
      <c r="B14" s="282" t="s">
        <v>347</v>
      </c>
      <c r="C14" s="502" t="s">
        <v>64</v>
      </c>
      <c r="D14" s="503"/>
      <c r="E14" s="440">
        <v>0</v>
      </c>
      <c r="F14" s="249">
        <f>('1c).Beruházás felújítás'!E72)</f>
        <v>0</v>
      </c>
      <c r="G14" s="249">
        <f>('1c).Beruházás felújítás'!$E72)</f>
        <v>0</v>
      </c>
      <c r="H14" s="249">
        <f>('1c).Beruházás felújítás'!$E72)</f>
        <v>0</v>
      </c>
      <c r="I14" s="403"/>
    </row>
    <row r="15" spans="1:9" ht="15.6" x14ac:dyDescent="0.25">
      <c r="A15" s="282"/>
      <c r="B15" s="282" t="s">
        <v>163</v>
      </c>
      <c r="C15" s="502" t="s">
        <v>164</v>
      </c>
      <c r="D15" s="503"/>
      <c r="E15" s="440">
        <v>71903307</v>
      </c>
      <c r="F15" s="249">
        <v>88856049</v>
      </c>
      <c r="G15" s="249">
        <f>('1c).Beruházás felújítás'!$D73)</f>
        <v>68479583</v>
      </c>
      <c r="H15" s="249">
        <f>('1c).Beruházás felújítás'!$D73)</f>
        <v>68479583</v>
      </c>
      <c r="I15" s="403"/>
    </row>
    <row r="16" spans="1:9" s="1" customFormat="1" ht="15.6" x14ac:dyDescent="0.25">
      <c r="A16" s="283" t="s">
        <v>142</v>
      </c>
      <c r="B16" s="500" t="s">
        <v>143</v>
      </c>
      <c r="C16" s="500"/>
      <c r="D16" s="501"/>
      <c r="E16" s="357">
        <f>SUM(E14:E15)</f>
        <v>71903307</v>
      </c>
      <c r="F16" s="251">
        <f>SUM(F14:F15)</f>
        <v>88856049</v>
      </c>
      <c r="G16" s="251">
        <f>SUM(G14:G15)</f>
        <v>68479583</v>
      </c>
      <c r="H16" s="251">
        <f>SUM(H14:H15)</f>
        <v>68479583</v>
      </c>
      <c r="I16" s="357"/>
    </row>
    <row r="17" spans="1:9" ht="15.6" x14ac:dyDescent="0.25">
      <c r="A17" s="282"/>
      <c r="B17" s="282"/>
      <c r="C17" s="282" t="s">
        <v>147</v>
      </c>
      <c r="D17" s="281" t="s">
        <v>148</v>
      </c>
      <c r="E17" s="278">
        <v>60000000</v>
      </c>
      <c r="F17" s="253">
        <v>55000000</v>
      </c>
      <c r="G17" s="253">
        <v>55000000</v>
      </c>
      <c r="H17" s="253">
        <v>55000000</v>
      </c>
      <c r="I17" s="278"/>
    </row>
    <row r="18" spans="1:9" ht="15.6" x14ac:dyDescent="0.25">
      <c r="A18" s="282"/>
      <c r="B18" s="282"/>
      <c r="C18" s="282" t="s">
        <v>149</v>
      </c>
      <c r="D18" s="281" t="s">
        <v>150</v>
      </c>
      <c r="E18" s="278">
        <v>8500000</v>
      </c>
      <c r="F18" s="253">
        <v>351596</v>
      </c>
      <c r="G18" s="253">
        <v>351596</v>
      </c>
      <c r="H18" s="253">
        <v>351596</v>
      </c>
      <c r="I18" s="278"/>
    </row>
    <row r="19" spans="1:9" ht="15.6" x14ac:dyDescent="0.25">
      <c r="A19" s="282"/>
      <c r="B19" s="286" t="s">
        <v>145</v>
      </c>
      <c r="C19" s="505" t="s">
        <v>146</v>
      </c>
      <c r="D19" s="506"/>
      <c r="E19" s="357">
        <f>SUM(E17:E18)</f>
        <v>68500000</v>
      </c>
      <c r="F19" s="251">
        <f>SUM(F17:F18)</f>
        <v>55351596</v>
      </c>
      <c r="G19" s="251">
        <f>SUM(G17:G18)</f>
        <v>55351596</v>
      </c>
      <c r="H19" s="251">
        <f>SUM(H17:H18)</f>
        <v>55351596</v>
      </c>
      <c r="I19" s="357"/>
    </row>
    <row r="20" spans="1:9" ht="15.6" x14ac:dyDescent="0.25">
      <c r="A20" s="282"/>
      <c r="B20" s="282" t="s">
        <v>151</v>
      </c>
      <c r="C20" s="502" t="s">
        <v>152</v>
      </c>
      <c r="D20" s="503"/>
      <c r="E20" s="278">
        <v>100000</v>
      </c>
      <c r="F20" s="278">
        <v>100000</v>
      </c>
      <c r="G20" s="278">
        <v>100000</v>
      </c>
      <c r="H20" s="278">
        <v>100000</v>
      </c>
      <c r="I20" s="278"/>
    </row>
    <row r="21" spans="1:9" s="1" customFormat="1" ht="15.6" x14ac:dyDescent="0.25">
      <c r="A21" s="283" t="s">
        <v>144</v>
      </c>
      <c r="B21" s="500" t="s">
        <v>55</v>
      </c>
      <c r="C21" s="500"/>
      <c r="D21" s="501"/>
      <c r="E21" s="357">
        <f>SUM(E19:E20)</f>
        <v>68600000</v>
      </c>
      <c r="F21" s="251">
        <f>SUM(F19:F20)</f>
        <v>55451596</v>
      </c>
      <c r="G21" s="251">
        <f>SUM(G19:G20)</f>
        <v>55451596</v>
      </c>
      <c r="H21" s="251">
        <f>SUM(H19:H20)</f>
        <v>55451596</v>
      </c>
      <c r="I21" s="357"/>
    </row>
    <row r="22" spans="1:9" ht="15.6" customHeight="1" x14ac:dyDescent="0.25">
      <c r="A22" s="482"/>
      <c r="B22" s="482" t="s">
        <v>193</v>
      </c>
      <c r="C22" s="640" t="s">
        <v>194</v>
      </c>
      <c r="D22" s="503"/>
      <c r="E22" s="278">
        <v>250000</v>
      </c>
      <c r="F22" s="253">
        <v>250000</v>
      </c>
      <c r="G22" s="253">
        <v>150000</v>
      </c>
      <c r="H22" s="249">
        <f>'1b).Működési bevétel int.'!F6</f>
        <v>150000</v>
      </c>
      <c r="I22" s="278"/>
    </row>
    <row r="23" spans="1:9" ht="15.6" customHeight="1" x14ac:dyDescent="0.25">
      <c r="A23" s="482"/>
      <c r="B23" s="482" t="s">
        <v>195</v>
      </c>
      <c r="C23" s="640" t="s">
        <v>196</v>
      </c>
      <c r="D23" s="503" t="s">
        <v>196</v>
      </c>
      <c r="E23" s="278">
        <v>7300000</v>
      </c>
      <c r="F23" s="253">
        <v>7300000</v>
      </c>
      <c r="G23" s="253">
        <v>6500000</v>
      </c>
      <c r="H23" s="249">
        <f>'1b).Működési bevétel int.'!F7</f>
        <v>4500000</v>
      </c>
      <c r="I23" s="278"/>
    </row>
    <row r="24" spans="1:9" ht="15.6" customHeight="1" x14ac:dyDescent="0.25">
      <c r="A24" s="482"/>
      <c r="B24" s="482" t="s">
        <v>197</v>
      </c>
      <c r="C24" s="640" t="s">
        <v>198</v>
      </c>
      <c r="D24" s="503" t="s">
        <v>198</v>
      </c>
      <c r="E24" s="278">
        <v>2200000</v>
      </c>
      <c r="F24" s="253">
        <v>2200000</v>
      </c>
      <c r="G24" s="253">
        <v>2500000</v>
      </c>
      <c r="H24" s="249">
        <f>'1b).Működési bevétel int.'!F8</f>
        <v>2500000</v>
      </c>
      <c r="I24" s="278"/>
    </row>
    <row r="25" spans="1:9" ht="15.6" customHeight="1" x14ac:dyDescent="0.25">
      <c r="A25" s="482"/>
      <c r="B25" s="482" t="s">
        <v>201</v>
      </c>
      <c r="C25" s="640" t="s">
        <v>202</v>
      </c>
      <c r="D25" s="503" t="s">
        <v>202</v>
      </c>
      <c r="E25" s="278">
        <v>2400000</v>
      </c>
      <c r="F25" s="253">
        <v>2400000</v>
      </c>
      <c r="G25" s="253">
        <v>2400000</v>
      </c>
      <c r="H25" s="249">
        <f>'1b).Működési bevétel int.'!F9</f>
        <v>1600000</v>
      </c>
      <c r="I25" s="278"/>
    </row>
    <row r="26" spans="1:9" ht="15.6" customHeight="1" x14ac:dyDescent="0.25">
      <c r="A26" s="482"/>
      <c r="B26" s="482" t="s">
        <v>203</v>
      </c>
      <c r="C26" s="640" t="s">
        <v>204</v>
      </c>
      <c r="D26" s="503" t="s">
        <v>204</v>
      </c>
      <c r="E26" s="278">
        <v>2000</v>
      </c>
      <c r="F26" s="253">
        <v>2000</v>
      </c>
      <c r="G26" s="253">
        <v>2000</v>
      </c>
      <c r="H26" s="249">
        <f>'1b).Működési bevétel int.'!F10</f>
        <v>2000</v>
      </c>
      <c r="I26" s="278"/>
    </row>
    <row r="27" spans="1:9" ht="15.6" customHeight="1" x14ac:dyDescent="0.25">
      <c r="A27" s="482"/>
      <c r="B27" s="482" t="s">
        <v>392</v>
      </c>
      <c r="C27" s="640" t="s">
        <v>205</v>
      </c>
      <c r="D27" s="503" t="s">
        <v>205</v>
      </c>
      <c r="E27" s="278">
        <v>5000</v>
      </c>
      <c r="F27" s="253">
        <v>400000</v>
      </c>
      <c r="G27" s="253">
        <v>515000</v>
      </c>
      <c r="H27" s="249">
        <f>'1b).Működési bevétel int.'!F11</f>
        <v>515000</v>
      </c>
      <c r="I27" s="278"/>
    </row>
    <row r="28" spans="1:9" s="1" customFormat="1" ht="15.6" customHeight="1" x14ac:dyDescent="0.25">
      <c r="A28" s="481" t="s">
        <v>153</v>
      </c>
      <c r="B28" s="637" t="s">
        <v>28</v>
      </c>
      <c r="C28" s="638"/>
      <c r="D28" s="639"/>
      <c r="E28" s="403">
        <v>12157000</v>
      </c>
      <c r="F28" s="255">
        <f>('1b).Működési bevétel int.'!D12)</f>
        <v>12552000</v>
      </c>
      <c r="G28" s="255">
        <f>('1b).Működési bevétel int.'!E12)</f>
        <v>12067000</v>
      </c>
      <c r="H28" s="255">
        <f>('1b).Működési bevétel int.'!F12)</f>
        <v>9267000</v>
      </c>
      <c r="I28" s="403"/>
    </row>
    <row r="29" spans="1:9" ht="15.6" customHeight="1" x14ac:dyDescent="0.25">
      <c r="A29" s="482"/>
      <c r="B29" s="482" t="s">
        <v>156</v>
      </c>
      <c r="C29" s="635" t="s">
        <v>157</v>
      </c>
      <c r="D29" s="636"/>
      <c r="E29" s="278">
        <f>1068000+1500000+1500000+70000</f>
        <v>4138000</v>
      </c>
      <c r="F29" s="253">
        <f>1068000+1500000+1500000+70000</f>
        <v>4138000</v>
      </c>
      <c r="G29" s="253">
        <f>1068000+1500000+1500000+70000</f>
        <v>4138000</v>
      </c>
      <c r="H29" s="253">
        <f>4250000+3601428</f>
        <v>7851428</v>
      </c>
      <c r="I29" s="278"/>
    </row>
    <row r="30" spans="1:9" ht="15.6" x14ac:dyDescent="0.25">
      <c r="A30" s="282"/>
      <c r="B30" s="282" t="s">
        <v>333</v>
      </c>
      <c r="C30" s="502" t="s">
        <v>348</v>
      </c>
      <c r="D30" s="503"/>
      <c r="E30" s="278">
        <v>0</v>
      </c>
      <c r="F30" s="253">
        <v>0</v>
      </c>
      <c r="G30" s="253">
        <v>0</v>
      </c>
      <c r="H30" s="253">
        <v>0</v>
      </c>
      <c r="I30" s="278"/>
    </row>
    <row r="31" spans="1:9" s="1" customFormat="1" ht="15.6" x14ac:dyDescent="0.25">
      <c r="A31" s="283" t="s">
        <v>154</v>
      </c>
      <c r="B31" s="500" t="s">
        <v>155</v>
      </c>
      <c r="C31" s="500"/>
      <c r="D31" s="501"/>
      <c r="E31" s="357">
        <f>SUM(E29:E30)</f>
        <v>4138000</v>
      </c>
      <c r="F31" s="251">
        <f>SUM(F29:F30)</f>
        <v>4138000</v>
      </c>
      <c r="G31" s="251">
        <f>SUM(G29:G30)</f>
        <v>4138000</v>
      </c>
      <c r="H31" s="251">
        <f>SUM(H29:H30)</f>
        <v>7851428</v>
      </c>
      <c r="I31" s="357"/>
    </row>
    <row r="32" spans="1:9" ht="15.6" x14ac:dyDescent="0.25">
      <c r="A32" s="282"/>
      <c r="B32" s="282" t="s">
        <v>375</v>
      </c>
      <c r="C32" s="641" t="s">
        <v>497</v>
      </c>
      <c r="D32" s="503"/>
      <c r="E32" s="278">
        <v>0</v>
      </c>
      <c r="F32" s="253">
        <v>0</v>
      </c>
      <c r="G32" s="253">
        <v>0</v>
      </c>
      <c r="H32" s="253">
        <v>0</v>
      </c>
      <c r="I32" s="278"/>
    </row>
    <row r="33" spans="1:10" ht="15.6" x14ac:dyDescent="0.25">
      <c r="A33" s="282"/>
      <c r="B33" s="282" t="s">
        <v>350</v>
      </c>
      <c r="C33" s="502" t="s">
        <v>160</v>
      </c>
      <c r="D33" s="503"/>
      <c r="E33" s="278">
        <v>0</v>
      </c>
      <c r="F33" s="253">
        <v>500000</v>
      </c>
      <c r="G33" s="253">
        <v>523000</v>
      </c>
      <c r="H33" s="253">
        <v>528700</v>
      </c>
      <c r="I33" s="278"/>
      <c r="J33" s="15"/>
    </row>
    <row r="34" spans="1:10" s="1" customFormat="1" ht="15.6" x14ac:dyDescent="0.25">
      <c r="A34" s="283" t="s">
        <v>158</v>
      </c>
      <c r="B34" s="500" t="s">
        <v>159</v>
      </c>
      <c r="C34" s="500"/>
      <c r="D34" s="501"/>
      <c r="E34" s="357">
        <f>SUM(E32:E33)</f>
        <v>0</v>
      </c>
      <c r="F34" s="251">
        <f>SUM(F32:F33)</f>
        <v>500000</v>
      </c>
      <c r="G34" s="251">
        <f>SUM(G32:G33)</f>
        <v>523000</v>
      </c>
      <c r="H34" s="251">
        <f>SUM(H32:H33)</f>
        <v>528700</v>
      </c>
      <c r="I34" s="357"/>
    </row>
    <row r="35" spans="1:10" ht="15.6" x14ac:dyDescent="0.25">
      <c r="A35" s="282"/>
      <c r="B35" s="282" t="s">
        <v>376</v>
      </c>
      <c r="C35" s="502" t="s">
        <v>165</v>
      </c>
      <c r="D35" s="503"/>
      <c r="E35" s="440">
        <v>35213088</v>
      </c>
      <c r="F35" s="249">
        <v>35213088</v>
      </c>
      <c r="G35" s="249">
        <f>('1c).Beruházás felújítás'!$D76)</f>
        <v>35213088</v>
      </c>
      <c r="H35" s="249">
        <f>('1c).Beruházás felújítás'!$D76)</f>
        <v>35213088</v>
      </c>
      <c r="I35" s="403"/>
    </row>
    <row r="36" spans="1:10" s="1" customFormat="1" ht="15.6" x14ac:dyDescent="0.25">
      <c r="A36" s="283" t="s">
        <v>161</v>
      </c>
      <c r="B36" s="500" t="s">
        <v>162</v>
      </c>
      <c r="C36" s="500"/>
      <c r="D36" s="501"/>
      <c r="E36" s="357">
        <f>SUM(E35)</f>
        <v>35213088</v>
      </c>
      <c r="F36" s="251">
        <f>SUM(F35)</f>
        <v>35213088</v>
      </c>
      <c r="G36" s="251">
        <f>SUM(G35)</f>
        <v>35213088</v>
      </c>
      <c r="H36" s="251">
        <f>SUM(H35)</f>
        <v>35213088</v>
      </c>
      <c r="I36" s="357"/>
    </row>
    <row r="37" spans="1:10" ht="15.6" x14ac:dyDescent="0.25">
      <c r="A37" s="290" t="s">
        <v>170</v>
      </c>
      <c r="B37" s="642" t="s">
        <v>171</v>
      </c>
      <c r="C37" s="642"/>
      <c r="D37" s="643"/>
      <c r="E37" s="359">
        <f>E13+E16+E21+E28+E31+E34+E36</f>
        <v>425184983</v>
      </c>
      <c r="F37" s="256">
        <f>F13+F16+F21+F28+F31+F34+F36</f>
        <v>421242173</v>
      </c>
      <c r="G37" s="256">
        <f>G13+G16+G21+G28+G31+G34+G36</f>
        <v>410708126</v>
      </c>
      <c r="H37" s="256">
        <f>H13+H16+H21+H28+H31+H34+H36</f>
        <v>415462446</v>
      </c>
      <c r="I37" s="359"/>
    </row>
    <row r="38" spans="1:10" ht="15.6" x14ac:dyDescent="0.25">
      <c r="A38" s="282"/>
      <c r="B38" s="282" t="s">
        <v>168</v>
      </c>
      <c r="C38" s="502" t="s">
        <v>169</v>
      </c>
      <c r="D38" s="503"/>
      <c r="E38" s="278">
        <v>98518696</v>
      </c>
      <c r="F38" s="253">
        <v>99160267</v>
      </c>
      <c r="G38" s="253">
        <v>99160267</v>
      </c>
      <c r="H38" s="253">
        <v>99160267</v>
      </c>
      <c r="I38" s="278"/>
    </row>
    <row r="39" spans="1:10" ht="15.6" x14ac:dyDescent="0.25">
      <c r="A39" s="282"/>
      <c r="B39" s="282" t="s">
        <v>395</v>
      </c>
      <c r="C39" s="502" t="s">
        <v>396</v>
      </c>
      <c r="D39" s="503"/>
      <c r="E39" s="278">
        <v>6778442</v>
      </c>
      <c r="F39" s="253">
        <v>6778442</v>
      </c>
      <c r="G39" s="253">
        <v>6778442</v>
      </c>
      <c r="H39" s="253">
        <v>6778442</v>
      </c>
      <c r="I39" s="278"/>
    </row>
    <row r="40" spans="1:10" ht="15.6" x14ac:dyDescent="0.25">
      <c r="A40" s="286" t="s">
        <v>166</v>
      </c>
      <c r="B40" s="505" t="s">
        <v>167</v>
      </c>
      <c r="C40" s="505"/>
      <c r="D40" s="506"/>
      <c r="E40" s="357">
        <f>SUM(E38:E39)</f>
        <v>105297138</v>
      </c>
      <c r="F40" s="251">
        <f>SUM(F38:F39)</f>
        <v>105938709</v>
      </c>
      <c r="G40" s="251">
        <f>SUM(G38:G39)</f>
        <v>105938709</v>
      </c>
      <c r="H40" s="251">
        <f>SUM(H38:H39)</f>
        <v>105938709</v>
      </c>
      <c r="I40" s="357"/>
    </row>
    <row r="41" spans="1:10" ht="15.6" x14ac:dyDescent="0.25">
      <c r="A41" s="644" t="s">
        <v>34</v>
      </c>
      <c r="B41" s="644"/>
      <c r="C41" s="644"/>
      <c r="D41" s="645"/>
      <c r="E41" s="397">
        <f>E37+E40</f>
        <v>530482121</v>
      </c>
      <c r="F41" s="240">
        <f>F37+F40</f>
        <v>527180882</v>
      </c>
      <c r="G41" s="240">
        <f>G37+G40</f>
        <v>516646835</v>
      </c>
      <c r="H41" s="240">
        <f>H37+H40</f>
        <v>521401155</v>
      </c>
      <c r="I41" s="397"/>
    </row>
    <row r="42" spans="1:10" ht="15.6" x14ac:dyDescent="0.25">
      <c r="A42" s="1"/>
      <c r="B42" s="3"/>
      <c r="C42" s="3"/>
      <c r="D42" s="3"/>
      <c r="E42" s="258"/>
      <c r="F42" s="258"/>
      <c r="G42" s="258"/>
      <c r="H42" s="259"/>
      <c r="I42" s="259"/>
    </row>
    <row r="43" spans="1:10" ht="31.8" thickBot="1" x14ac:dyDescent="0.3">
      <c r="A43" s="653" t="s">
        <v>482</v>
      </c>
      <c r="B43" s="653"/>
      <c r="C43" s="653"/>
      <c r="D43" s="654"/>
      <c r="E43" s="247" t="s">
        <v>483</v>
      </c>
      <c r="F43" s="187" t="s">
        <v>466</v>
      </c>
      <c r="G43" s="187" t="s">
        <v>443</v>
      </c>
      <c r="H43" s="187" t="s">
        <v>444</v>
      </c>
      <c r="I43" s="187" t="s">
        <v>445</v>
      </c>
    </row>
    <row r="44" spans="1:10" ht="15.6" x14ac:dyDescent="0.25">
      <c r="A44" s="293" t="s">
        <v>139</v>
      </c>
      <c r="B44" s="655" t="s">
        <v>140</v>
      </c>
      <c r="C44" s="655"/>
      <c r="D44" s="656"/>
      <c r="E44" s="403">
        <v>0</v>
      </c>
      <c r="F44" s="253">
        <v>0</v>
      </c>
      <c r="G44" s="253">
        <v>0</v>
      </c>
      <c r="H44" s="253">
        <v>0</v>
      </c>
      <c r="I44" s="278"/>
    </row>
    <row r="45" spans="1:10" ht="15.6" x14ac:dyDescent="0.25">
      <c r="A45" s="282" t="s">
        <v>142</v>
      </c>
      <c r="B45" s="502" t="s">
        <v>143</v>
      </c>
      <c r="C45" s="502"/>
      <c r="D45" s="503"/>
      <c r="E45" s="278">
        <v>0</v>
      </c>
      <c r="F45" s="253">
        <v>0</v>
      </c>
      <c r="G45" s="253">
        <v>0</v>
      </c>
      <c r="H45" s="253">
        <v>0</v>
      </c>
      <c r="I45" s="278"/>
    </row>
    <row r="46" spans="1:10" ht="15.6" x14ac:dyDescent="0.25">
      <c r="A46" s="282" t="s">
        <v>144</v>
      </c>
      <c r="B46" s="502" t="s">
        <v>55</v>
      </c>
      <c r="C46" s="502"/>
      <c r="D46" s="503"/>
      <c r="E46" s="278">
        <v>0</v>
      </c>
      <c r="F46" s="253">
        <v>0</v>
      </c>
      <c r="G46" s="253">
        <v>0</v>
      </c>
      <c r="H46" s="253">
        <v>0</v>
      </c>
      <c r="I46" s="278"/>
    </row>
    <row r="47" spans="1:10" ht="15.6" x14ac:dyDescent="0.25">
      <c r="A47" s="282" t="s">
        <v>153</v>
      </c>
      <c r="B47" s="502" t="s">
        <v>28</v>
      </c>
      <c r="C47" s="502"/>
      <c r="D47" s="503"/>
      <c r="E47" s="403">
        <v>11803000</v>
      </c>
      <c r="F47" s="439">
        <f>('1b).Működési bevétel int.'!D21)</f>
        <v>11080000</v>
      </c>
      <c r="G47" s="439">
        <f>('1b).Működési bevétel int.'!E21)</f>
        <v>11082500</v>
      </c>
      <c r="H47" s="439">
        <f>('1b).Működési bevétel int.'!F21)</f>
        <v>12282500</v>
      </c>
      <c r="I47" s="403"/>
    </row>
    <row r="48" spans="1:10" ht="15.6" x14ac:dyDescent="0.25">
      <c r="A48" s="282" t="s">
        <v>154</v>
      </c>
      <c r="B48" s="502" t="s">
        <v>155</v>
      </c>
      <c r="C48" s="502"/>
      <c r="D48" s="503"/>
      <c r="E48" s="278">
        <v>0</v>
      </c>
      <c r="F48" s="253">
        <v>0</v>
      </c>
      <c r="G48" s="253">
        <v>0</v>
      </c>
      <c r="H48" s="253">
        <v>0</v>
      </c>
      <c r="I48" s="278"/>
    </row>
    <row r="49" spans="1:11" ht="15.6" x14ac:dyDescent="0.25">
      <c r="A49" s="282" t="s">
        <v>158</v>
      </c>
      <c r="B49" s="502" t="s">
        <v>159</v>
      </c>
      <c r="C49" s="502"/>
      <c r="D49" s="503"/>
      <c r="E49" s="278">
        <v>0</v>
      </c>
      <c r="F49" s="253">
        <v>0</v>
      </c>
      <c r="G49" s="253">
        <v>0</v>
      </c>
      <c r="H49" s="253">
        <v>0</v>
      </c>
      <c r="I49" s="278"/>
    </row>
    <row r="50" spans="1:11" ht="15.6" x14ac:dyDescent="0.25">
      <c r="A50" s="282" t="s">
        <v>161</v>
      </c>
      <c r="B50" s="502" t="s">
        <v>162</v>
      </c>
      <c r="C50" s="502"/>
      <c r="D50" s="503"/>
      <c r="E50" s="278">
        <v>0</v>
      </c>
      <c r="F50" s="253">
        <v>0</v>
      </c>
      <c r="G50" s="253">
        <v>0</v>
      </c>
      <c r="H50" s="253">
        <v>0</v>
      </c>
      <c r="I50" s="278"/>
    </row>
    <row r="51" spans="1:11" ht="15.6" x14ac:dyDescent="0.25">
      <c r="A51" s="290" t="s">
        <v>170</v>
      </c>
      <c r="B51" s="651" t="s">
        <v>171</v>
      </c>
      <c r="C51" s="651"/>
      <c r="D51" s="652"/>
      <c r="E51" s="359">
        <f>SUM(E44:E50)</f>
        <v>11803000</v>
      </c>
      <c r="F51" s="256">
        <f>SUM(F44:F50)</f>
        <v>11080000</v>
      </c>
      <c r="G51" s="256">
        <f>SUM(G44:G50)</f>
        <v>11082500</v>
      </c>
      <c r="H51" s="256">
        <f>SUM(H44:H50)</f>
        <v>12282500</v>
      </c>
      <c r="I51" s="359"/>
    </row>
    <row r="52" spans="1:11" s="3" customFormat="1" ht="15.6" x14ac:dyDescent="0.25">
      <c r="A52" s="282"/>
      <c r="B52" s="282" t="s">
        <v>168</v>
      </c>
      <c r="C52" s="502" t="s">
        <v>169</v>
      </c>
      <c r="D52" s="503"/>
      <c r="E52" s="278">
        <v>15</v>
      </c>
      <c r="F52" s="253">
        <v>15</v>
      </c>
      <c r="G52" s="253">
        <v>15</v>
      </c>
      <c r="H52" s="253">
        <v>15</v>
      </c>
      <c r="I52" s="278"/>
    </row>
    <row r="53" spans="1:11" ht="15.6" x14ac:dyDescent="0.25">
      <c r="A53" s="282"/>
      <c r="B53" s="282" t="s">
        <v>172</v>
      </c>
      <c r="C53" s="502" t="s">
        <v>173</v>
      </c>
      <c r="D53" s="503"/>
      <c r="E53" s="278">
        <v>67264817</v>
      </c>
      <c r="F53" s="253">
        <v>67264817</v>
      </c>
      <c r="G53" s="253">
        <f>67264817-1544932</f>
        <v>65719885</v>
      </c>
      <c r="H53" s="253">
        <f>67264817-1544932+6907460+1799386+1300000</f>
        <v>75726731</v>
      </c>
      <c r="I53" s="278"/>
    </row>
    <row r="54" spans="1:11" s="1" customFormat="1" ht="15.6" x14ac:dyDescent="0.25">
      <c r="A54" s="283" t="s">
        <v>166</v>
      </c>
      <c r="B54" s="500" t="s">
        <v>167</v>
      </c>
      <c r="C54" s="500"/>
      <c r="D54" s="501"/>
      <c r="E54" s="357">
        <f>SUM(E52:E53)</f>
        <v>67264832</v>
      </c>
      <c r="F54" s="251">
        <f>SUM(F52:F53)</f>
        <v>67264832</v>
      </c>
      <c r="G54" s="251">
        <f>SUM(G52:G53)</f>
        <v>65719900</v>
      </c>
      <c r="H54" s="251">
        <f>SUM(H52:H53)</f>
        <v>75726746</v>
      </c>
      <c r="I54" s="357"/>
    </row>
    <row r="55" spans="1:11" ht="15.6" x14ac:dyDescent="0.25">
      <c r="A55" s="644" t="s">
        <v>34</v>
      </c>
      <c r="B55" s="644"/>
      <c r="C55" s="644"/>
      <c r="D55" s="645"/>
      <c r="E55" s="397">
        <f>E51+E54</f>
        <v>79067832</v>
      </c>
      <c r="F55" s="240">
        <f>F51+F54</f>
        <v>78344832</v>
      </c>
      <c r="G55" s="240">
        <f>G51+G54</f>
        <v>76802400</v>
      </c>
      <c r="H55" s="240">
        <f>H51+H54</f>
        <v>88009246</v>
      </c>
      <c r="I55" s="397"/>
    </row>
    <row r="56" spans="1:11" ht="15.6" x14ac:dyDescent="0.25">
      <c r="E56" s="259"/>
      <c r="F56" s="259"/>
      <c r="G56" s="258"/>
      <c r="H56" s="259">
        <f>'4).Kiadás intézmény'!F48</f>
        <v>88009246</v>
      </c>
      <c r="I56" s="259"/>
      <c r="K56" s="15"/>
    </row>
    <row r="57" spans="1:11" ht="31.8" thickBot="1" x14ac:dyDescent="0.3">
      <c r="A57" s="657" t="s">
        <v>398</v>
      </c>
      <c r="B57" s="657"/>
      <c r="C57" s="657"/>
      <c r="D57" s="658"/>
      <c r="E57" s="247" t="s">
        <v>483</v>
      </c>
      <c r="F57" s="187" t="s">
        <v>466</v>
      </c>
      <c r="G57" s="187" t="s">
        <v>443</v>
      </c>
      <c r="H57" s="187" t="s">
        <v>444</v>
      </c>
      <c r="I57" s="187" t="s">
        <v>445</v>
      </c>
    </row>
    <row r="58" spans="1:11" ht="15.6" x14ac:dyDescent="0.25">
      <c r="A58" s="293" t="s">
        <v>139</v>
      </c>
      <c r="B58" s="655" t="s">
        <v>140</v>
      </c>
      <c r="C58" s="655"/>
      <c r="D58" s="656"/>
      <c r="E58" s="278">
        <v>0</v>
      </c>
      <c r="F58" s="260">
        <v>0</v>
      </c>
      <c r="G58" s="260">
        <v>0</v>
      </c>
      <c r="H58" s="260">
        <v>0</v>
      </c>
      <c r="I58" s="355"/>
    </row>
    <row r="59" spans="1:11" ht="15.6" x14ac:dyDescent="0.25">
      <c r="A59" s="282" t="s">
        <v>142</v>
      </c>
      <c r="B59" s="502" t="s">
        <v>143</v>
      </c>
      <c r="C59" s="502"/>
      <c r="D59" s="503"/>
      <c r="E59" s="278">
        <v>0</v>
      </c>
      <c r="F59" s="253">
        <v>0</v>
      </c>
      <c r="G59" s="253">
        <v>0</v>
      </c>
      <c r="H59" s="253">
        <v>0</v>
      </c>
      <c r="I59" s="278"/>
    </row>
    <row r="60" spans="1:11" ht="15.6" x14ac:dyDescent="0.25">
      <c r="A60" s="282" t="s">
        <v>144</v>
      </c>
      <c r="B60" s="502" t="s">
        <v>55</v>
      </c>
      <c r="C60" s="502"/>
      <c r="D60" s="503"/>
      <c r="E60" s="278">
        <v>0</v>
      </c>
      <c r="F60" s="253">
        <v>0</v>
      </c>
      <c r="G60" s="253">
        <v>0</v>
      </c>
      <c r="H60" s="253">
        <v>0</v>
      </c>
      <c r="I60" s="278"/>
    </row>
    <row r="61" spans="1:11" ht="15.6" x14ac:dyDescent="0.25">
      <c r="A61" s="282" t="s">
        <v>153</v>
      </c>
      <c r="B61" s="502" t="s">
        <v>28</v>
      </c>
      <c r="C61" s="502"/>
      <c r="D61" s="503"/>
      <c r="E61" s="403">
        <v>1303000</v>
      </c>
      <c r="F61" s="439">
        <f>('1b).Működési bevétel int.'!D30)</f>
        <v>1003000</v>
      </c>
      <c r="G61" s="439">
        <f>('1b).Működési bevétel int.'!E30)</f>
        <v>1003000</v>
      </c>
      <c r="H61" s="439">
        <f>('1b).Működési bevétel int.'!F30)</f>
        <v>903000</v>
      </c>
      <c r="I61" s="403"/>
    </row>
    <row r="62" spans="1:11" ht="15.6" x14ac:dyDescent="0.25">
      <c r="A62" s="282" t="s">
        <v>154</v>
      </c>
      <c r="B62" s="502" t="s">
        <v>155</v>
      </c>
      <c r="C62" s="502"/>
      <c r="D62" s="503"/>
      <c r="E62" s="278">
        <v>0</v>
      </c>
      <c r="F62" s="253">
        <v>0</v>
      </c>
      <c r="G62" s="253">
        <v>0</v>
      </c>
      <c r="H62" s="253">
        <v>0</v>
      </c>
      <c r="I62" s="278"/>
    </row>
    <row r="63" spans="1:11" ht="15.6" x14ac:dyDescent="0.25">
      <c r="A63" s="282" t="s">
        <v>158</v>
      </c>
      <c r="B63" s="502" t="s">
        <v>159</v>
      </c>
      <c r="C63" s="502"/>
      <c r="D63" s="503"/>
      <c r="E63" s="278">
        <v>0</v>
      </c>
      <c r="F63" s="253">
        <v>0</v>
      </c>
      <c r="G63" s="253">
        <v>0</v>
      </c>
      <c r="H63" s="253">
        <v>0</v>
      </c>
      <c r="I63" s="278"/>
    </row>
    <row r="64" spans="1:11" ht="15.6" x14ac:dyDescent="0.25">
      <c r="A64" s="282" t="s">
        <v>161</v>
      </c>
      <c r="B64" s="502" t="s">
        <v>162</v>
      </c>
      <c r="C64" s="502"/>
      <c r="D64" s="503"/>
      <c r="E64" s="278">
        <v>0</v>
      </c>
      <c r="F64" s="253">
        <v>0</v>
      </c>
      <c r="G64" s="253">
        <v>0</v>
      </c>
      <c r="H64" s="253">
        <v>0</v>
      </c>
      <c r="I64" s="278"/>
    </row>
    <row r="65" spans="1:11" ht="15.6" x14ac:dyDescent="0.25">
      <c r="A65" s="290" t="s">
        <v>170</v>
      </c>
      <c r="B65" s="642" t="s">
        <v>171</v>
      </c>
      <c r="C65" s="642"/>
      <c r="D65" s="643"/>
      <c r="E65" s="359">
        <f>SUM(E58:E64)</f>
        <v>1303000</v>
      </c>
      <c r="F65" s="256">
        <f>SUM(F58:F64)</f>
        <v>1003000</v>
      </c>
      <c r="G65" s="256">
        <f>SUM(G58:G64)</f>
        <v>1003000</v>
      </c>
      <c r="H65" s="256">
        <f>SUM(H58:H64)</f>
        <v>903000</v>
      </c>
      <c r="I65" s="359"/>
    </row>
    <row r="66" spans="1:11" s="3" customFormat="1" ht="15.6" x14ac:dyDescent="0.25">
      <c r="A66" s="282"/>
      <c r="B66" s="282" t="s">
        <v>168</v>
      </c>
      <c r="C66" s="502" t="s">
        <v>288</v>
      </c>
      <c r="D66" s="503"/>
      <c r="E66" s="278">
        <v>256</v>
      </c>
      <c r="F66" s="253">
        <v>256</v>
      </c>
      <c r="G66" s="253">
        <v>257</v>
      </c>
      <c r="H66" s="253">
        <v>256</v>
      </c>
      <c r="I66" s="278"/>
    </row>
    <row r="67" spans="1:11" ht="15.6" x14ac:dyDescent="0.25">
      <c r="A67" s="282"/>
      <c r="B67" s="282" t="s">
        <v>172</v>
      </c>
      <c r="C67" s="502" t="s">
        <v>173</v>
      </c>
      <c r="D67" s="503"/>
      <c r="E67" s="278">
        <v>29364676</v>
      </c>
      <c r="F67" s="253">
        <f>29364676+399336</f>
        <v>29764012</v>
      </c>
      <c r="G67" s="253">
        <f>29364676+399336+587500+721260</f>
        <v>31072772</v>
      </c>
      <c r="H67" s="253">
        <f>29364676+399336+587500+721260+519340+2168750</f>
        <v>33760862</v>
      </c>
      <c r="I67" s="278"/>
    </row>
    <row r="68" spans="1:11" s="1" customFormat="1" ht="15.6" x14ac:dyDescent="0.25">
      <c r="A68" s="283" t="s">
        <v>166</v>
      </c>
      <c r="B68" s="500" t="s">
        <v>167</v>
      </c>
      <c r="C68" s="500"/>
      <c r="D68" s="501"/>
      <c r="E68" s="357">
        <f>SUM(E66:E67)</f>
        <v>29364932</v>
      </c>
      <c r="F68" s="251">
        <f>SUM(F66:F67)</f>
        <v>29764268</v>
      </c>
      <c r="G68" s="251">
        <f>SUM(G66:G67)</f>
        <v>31073029</v>
      </c>
      <c r="H68" s="251">
        <f>SUM(H66:H67)</f>
        <v>33761118</v>
      </c>
      <c r="I68" s="357"/>
    </row>
    <row r="69" spans="1:11" ht="15.6" x14ac:dyDescent="0.25">
      <c r="A69" s="644" t="s">
        <v>34</v>
      </c>
      <c r="B69" s="644"/>
      <c r="C69" s="644"/>
      <c r="D69" s="645"/>
      <c r="E69" s="397">
        <f>E65+E68</f>
        <v>30667932</v>
      </c>
      <c r="F69" s="240">
        <f>F65+F68</f>
        <v>30767268</v>
      </c>
      <c r="G69" s="240">
        <f>G65+G68</f>
        <v>32076029</v>
      </c>
      <c r="H69" s="240">
        <f>H65+H68</f>
        <v>34664118</v>
      </c>
      <c r="I69" s="397"/>
    </row>
    <row r="70" spans="1:11" ht="15.6" x14ac:dyDescent="0.25">
      <c r="E70" s="259"/>
      <c r="F70" s="259"/>
      <c r="G70" s="258"/>
      <c r="H70" s="259">
        <f>'4).Kiadás intézmény'!F61</f>
        <v>34664118</v>
      </c>
      <c r="I70" s="259"/>
      <c r="K70" s="15"/>
    </row>
    <row r="71" spans="1:11" ht="31.8" thickBot="1" x14ac:dyDescent="0.3">
      <c r="A71" s="659" t="s">
        <v>394</v>
      </c>
      <c r="B71" s="659"/>
      <c r="C71" s="659"/>
      <c r="D71" s="660"/>
      <c r="E71" s="247" t="s">
        <v>483</v>
      </c>
      <c r="F71" s="187" t="s">
        <v>466</v>
      </c>
      <c r="G71" s="187" t="s">
        <v>443</v>
      </c>
      <c r="H71" s="187" t="s">
        <v>444</v>
      </c>
      <c r="I71" s="187" t="s">
        <v>445</v>
      </c>
    </row>
    <row r="72" spans="1:11" ht="15.6" x14ac:dyDescent="0.25">
      <c r="A72" s="293" t="s">
        <v>139</v>
      </c>
      <c r="B72" s="655" t="s">
        <v>140</v>
      </c>
      <c r="C72" s="655"/>
      <c r="D72" s="656"/>
      <c r="E72" s="278">
        <v>0</v>
      </c>
      <c r="F72" s="260">
        <v>0</v>
      </c>
      <c r="G72" s="260">
        <v>0</v>
      </c>
      <c r="H72" s="260">
        <v>0</v>
      </c>
      <c r="I72" s="355"/>
    </row>
    <row r="73" spans="1:11" ht="15.6" x14ac:dyDescent="0.25">
      <c r="A73" s="282" t="s">
        <v>142</v>
      </c>
      <c r="B73" s="502" t="s">
        <v>143</v>
      </c>
      <c r="C73" s="502"/>
      <c r="D73" s="503"/>
      <c r="E73" s="278">
        <v>0</v>
      </c>
      <c r="F73" s="253">
        <v>0</v>
      </c>
      <c r="G73" s="253">
        <v>0</v>
      </c>
      <c r="H73" s="253">
        <v>0</v>
      </c>
      <c r="I73" s="278"/>
    </row>
    <row r="74" spans="1:11" ht="15.6" x14ac:dyDescent="0.25">
      <c r="A74" s="282" t="s">
        <v>144</v>
      </c>
      <c r="B74" s="502" t="s">
        <v>55</v>
      </c>
      <c r="C74" s="502"/>
      <c r="D74" s="503"/>
      <c r="E74" s="278">
        <v>0</v>
      </c>
      <c r="F74" s="253">
        <v>0</v>
      </c>
      <c r="G74" s="253">
        <v>0</v>
      </c>
      <c r="H74" s="253">
        <v>0</v>
      </c>
      <c r="I74" s="278"/>
    </row>
    <row r="75" spans="1:11" ht="15.6" x14ac:dyDescent="0.25">
      <c r="A75" s="282" t="s">
        <v>153</v>
      </c>
      <c r="B75" s="502" t="s">
        <v>28</v>
      </c>
      <c r="C75" s="502"/>
      <c r="D75" s="503"/>
      <c r="E75" s="403">
        <v>3000</v>
      </c>
      <c r="F75" s="439">
        <f>('1b).Működési bevétel int.'!D39)</f>
        <v>3000</v>
      </c>
      <c r="G75" s="439">
        <f>('1b).Működési bevétel int.'!E39)</f>
        <v>3000</v>
      </c>
      <c r="H75" s="439">
        <f>('1b).Működési bevétel int.'!F39)</f>
        <v>3000</v>
      </c>
      <c r="I75" s="403"/>
    </row>
    <row r="76" spans="1:11" ht="15.6" x14ac:dyDescent="0.25">
      <c r="A76" s="282" t="s">
        <v>154</v>
      </c>
      <c r="B76" s="502" t="s">
        <v>155</v>
      </c>
      <c r="C76" s="502"/>
      <c r="D76" s="503"/>
      <c r="E76" s="278">
        <v>0</v>
      </c>
      <c r="F76" s="253">
        <v>0</v>
      </c>
      <c r="G76" s="253">
        <v>0</v>
      </c>
      <c r="H76" s="253">
        <v>0</v>
      </c>
      <c r="I76" s="278"/>
    </row>
    <row r="77" spans="1:11" ht="15.6" x14ac:dyDescent="0.25">
      <c r="A77" s="282" t="s">
        <v>158</v>
      </c>
      <c r="B77" s="502" t="s">
        <v>159</v>
      </c>
      <c r="C77" s="502"/>
      <c r="D77" s="503"/>
      <c r="E77" s="278">
        <v>0</v>
      </c>
      <c r="F77" s="253">
        <v>0</v>
      </c>
      <c r="G77" s="253">
        <v>0</v>
      </c>
      <c r="H77" s="253">
        <v>0</v>
      </c>
      <c r="I77" s="278"/>
    </row>
    <row r="78" spans="1:11" ht="15.6" x14ac:dyDescent="0.25">
      <c r="A78" s="282" t="s">
        <v>161</v>
      </c>
      <c r="B78" s="502" t="s">
        <v>162</v>
      </c>
      <c r="C78" s="502"/>
      <c r="D78" s="503"/>
      <c r="E78" s="278">
        <v>0</v>
      </c>
      <c r="F78" s="253">
        <v>0</v>
      </c>
      <c r="G78" s="253">
        <v>0</v>
      </c>
      <c r="H78" s="253">
        <v>0</v>
      </c>
      <c r="I78" s="278"/>
    </row>
    <row r="79" spans="1:11" ht="15.6" x14ac:dyDescent="0.25">
      <c r="A79" s="290" t="s">
        <v>170</v>
      </c>
      <c r="B79" s="642" t="s">
        <v>171</v>
      </c>
      <c r="C79" s="642"/>
      <c r="D79" s="643"/>
      <c r="E79" s="359">
        <f>SUM(E72:E78)</f>
        <v>3000</v>
      </c>
      <c r="F79" s="256">
        <f>SUM(F72:F78)</f>
        <v>3000</v>
      </c>
      <c r="G79" s="256">
        <f>SUM(G72:G78)</f>
        <v>3000</v>
      </c>
      <c r="H79" s="256">
        <f>SUM(H72:H78)</f>
        <v>3000</v>
      </c>
      <c r="I79" s="359"/>
    </row>
    <row r="80" spans="1:11" ht="15.6" x14ac:dyDescent="0.25">
      <c r="A80" s="282"/>
      <c r="B80" s="282" t="s">
        <v>168</v>
      </c>
      <c r="C80" s="502" t="s">
        <v>288</v>
      </c>
      <c r="D80" s="503"/>
      <c r="E80" s="278">
        <v>65502</v>
      </c>
      <c r="F80" s="253">
        <v>65502</v>
      </c>
      <c r="G80" s="253">
        <v>65503</v>
      </c>
      <c r="H80" s="253">
        <v>65502</v>
      </c>
      <c r="I80" s="278"/>
    </row>
    <row r="81" spans="1:11" s="3" customFormat="1" ht="15.6" x14ac:dyDescent="0.25">
      <c r="A81" s="282"/>
      <c r="B81" s="282" t="s">
        <v>172</v>
      </c>
      <c r="C81" s="502" t="s">
        <v>173</v>
      </c>
      <c r="D81" s="503"/>
      <c r="E81" s="278">
        <v>63004458</v>
      </c>
      <c r="F81" s="253">
        <f>63004458-400000+664</f>
        <v>62605122</v>
      </c>
      <c r="G81" s="253">
        <f>63004458-400000+664+1785549</f>
        <v>64390671</v>
      </c>
      <c r="H81" s="253">
        <f>63004458-400000+664+1785549+2598909+1627629</f>
        <v>68617209</v>
      </c>
      <c r="I81" s="278"/>
    </row>
    <row r="82" spans="1:11" s="1" customFormat="1" ht="15.6" x14ac:dyDescent="0.25">
      <c r="A82" s="283" t="s">
        <v>166</v>
      </c>
      <c r="B82" s="500" t="s">
        <v>167</v>
      </c>
      <c r="C82" s="500"/>
      <c r="D82" s="501"/>
      <c r="E82" s="357">
        <f>SUM(E80:E81)</f>
        <v>63069960</v>
      </c>
      <c r="F82" s="251">
        <f>SUM(F80:F81)</f>
        <v>62670624</v>
      </c>
      <c r="G82" s="251">
        <f>SUM(G80:G81)</f>
        <v>64456174</v>
      </c>
      <c r="H82" s="251">
        <f>SUM(H80:H81)</f>
        <v>68682711</v>
      </c>
      <c r="I82" s="357"/>
    </row>
    <row r="83" spans="1:11" ht="15.6" x14ac:dyDescent="0.25">
      <c r="A83" s="644" t="s">
        <v>34</v>
      </c>
      <c r="B83" s="644"/>
      <c r="C83" s="644"/>
      <c r="D83" s="645"/>
      <c r="E83" s="397">
        <f>E79+E82</f>
        <v>63072960</v>
      </c>
      <c r="F83" s="240">
        <f>F79+F82</f>
        <v>62673624</v>
      </c>
      <c r="G83" s="240">
        <f>G79+G82</f>
        <v>64459174</v>
      </c>
      <c r="H83" s="240">
        <f>H79+H82</f>
        <v>68685711</v>
      </c>
      <c r="I83" s="397"/>
    </row>
    <row r="84" spans="1:11" ht="15" x14ac:dyDescent="0.25">
      <c r="D84" s="3"/>
      <c r="H84" s="259">
        <f>'4).Kiadás intézmény'!F74</f>
        <v>69141633</v>
      </c>
      <c r="K84" s="15"/>
    </row>
    <row r="85" spans="1:11" ht="15" x14ac:dyDescent="0.25">
      <c r="H85" s="259"/>
    </row>
  </sheetData>
  <mergeCells count="72">
    <mergeCell ref="B79:D79"/>
    <mergeCell ref="C80:D80"/>
    <mergeCell ref="C81:D81"/>
    <mergeCell ref="B82:D82"/>
    <mergeCell ref="A83:D83"/>
    <mergeCell ref="B74:D74"/>
    <mergeCell ref="B75:D75"/>
    <mergeCell ref="B76:D76"/>
    <mergeCell ref="B77:D77"/>
    <mergeCell ref="B78:D78"/>
    <mergeCell ref="B68:D68"/>
    <mergeCell ref="A69:D69"/>
    <mergeCell ref="A71:D71"/>
    <mergeCell ref="B72:D72"/>
    <mergeCell ref="B73:D73"/>
    <mergeCell ref="B63:D63"/>
    <mergeCell ref="B64:D64"/>
    <mergeCell ref="B65:D65"/>
    <mergeCell ref="C66:D66"/>
    <mergeCell ref="C67:D67"/>
    <mergeCell ref="B58:D58"/>
    <mergeCell ref="B59:D59"/>
    <mergeCell ref="B60:D60"/>
    <mergeCell ref="B61:D61"/>
    <mergeCell ref="B62:D62"/>
    <mergeCell ref="C52:D52"/>
    <mergeCell ref="C53:D53"/>
    <mergeCell ref="B54:D54"/>
    <mergeCell ref="A55:D55"/>
    <mergeCell ref="A57:D57"/>
    <mergeCell ref="B48:D48"/>
    <mergeCell ref="B49:D49"/>
    <mergeCell ref="B50:D50"/>
    <mergeCell ref="B51:D51"/>
    <mergeCell ref="A43:D43"/>
    <mergeCell ref="B44:D44"/>
    <mergeCell ref="B45:D45"/>
    <mergeCell ref="B46:D46"/>
    <mergeCell ref="B47:D47"/>
    <mergeCell ref="A1:I1"/>
    <mergeCell ref="A2:I2"/>
    <mergeCell ref="A4:D4"/>
    <mergeCell ref="B16:D16"/>
    <mergeCell ref="C12:D12"/>
    <mergeCell ref="C14:D14"/>
    <mergeCell ref="C15:D15"/>
    <mergeCell ref="B13:D13"/>
    <mergeCell ref="C11:D11"/>
    <mergeCell ref="E5:E11"/>
    <mergeCell ref="B37:D37"/>
    <mergeCell ref="C38:D38"/>
    <mergeCell ref="A41:D41"/>
    <mergeCell ref="C39:D39"/>
    <mergeCell ref="B36:D36"/>
    <mergeCell ref="B40:D40"/>
    <mergeCell ref="C32:D32"/>
    <mergeCell ref="C33:D33"/>
    <mergeCell ref="B31:D31"/>
    <mergeCell ref="B34:D34"/>
    <mergeCell ref="C35:D35"/>
    <mergeCell ref="C19:D19"/>
    <mergeCell ref="C29:D29"/>
    <mergeCell ref="C20:D20"/>
    <mergeCell ref="B28:D28"/>
    <mergeCell ref="C30:D30"/>
    <mergeCell ref="B21:D21"/>
    <mergeCell ref="C22:D22"/>
    <mergeCell ref="C23:D23"/>
    <mergeCell ref="C24:D24"/>
    <mergeCell ref="C27:D27"/>
    <mergeCell ref="C25:D25"/>
    <mergeCell ref="C26:D26"/>
  </mergeCells>
  <phoneticPr fontId="38" type="noConversion"/>
  <printOptions horizontalCentered="1"/>
  <pageMargins left="0.23622047244094491" right="0.23622047244094491" top="0.74803149606299213" bottom="0.23622047244094491" header="0.31496062992125984" footer="0.31496062992125984"/>
  <pageSetup paperSize="9" scale="64" orientation="portrait" r:id="rId1"/>
  <headerFooter>
    <oddHeader>&amp;R2. sz. melléklet
Ft-ban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7">
    <pageSetUpPr fitToPage="1"/>
  </sheetPr>
  <dimension ref="A1:F52"/>
  <sheetViews>
    <sheetView topLeftCell="A22" zoomScale="90" zoomScaleNormal="90" workbookViewId="0">
      <selection activeCell="J30" sqref="J30"/>
    </sheetView>
  </sheetViews>
  <sheetFormatPr defaultColWidth="9.109375" defaultRowHeight="13.2" x14ac:dyDescent="0.25"/>
  <cols>
    <col min="1" max="1" width="9.33203125" style="134" customWidth="1"/>
    <col min="2" max="2" width="30.44140625" style="3" customWidth="1"/>
    <col min="3" max="4" width="20.6640625" style="3" customWidth="1"/>
    <col min="5" max="5" width="21.33203125" style="3" customWidth="1"/>
    <col min="6" max="6" width="20.6640625" style="3" customWidth="1"/>
    <col min="7" max="16384" width="9.109375" style="3"/>
  </cols>
  <sheetData>
    <row r="1" spans="1:6" ht="39" customHeight="1" x14ac:dyDescent="0.25">
      <c r="A1" s="607" t="s">
        <v>506</v>
      </c>
      <c r="B1" s="607"/>
      <c r="C1" s="607"/>
      <c r="D1" s="607"/>
      <c r="E1" s="607"/>
      <c r="F1" s="607"/>
    </row>
    <row r="2" spans="1:6" ht="15.6" x14ac:dyDescent="0.25">
      <c r="A2" s="126"/>
    </row>
    <row r="3" spans="1:6" s="1" customFormat="1" ht="28.8" x14ac:dyDescent="0.25">
      <c r="A3" s="610" t="s">
        <v>427</v>
      </c>
      <c r="B3" s="610" t="s">
        <v>100</v>
      </c>
      <c r="C3" s="608" t="s">
        <v>29</v>
      </c>
      <c r="D3" s="91" t="s">
        <v>55</v>
      </c>
      <c r="E3" s="91" t="s">
        <v>431</v>
      </c>
      <c r="F3" s="610" t="s">
        <v>292</v>
      </c>
    </row>
    <row r="4" spans="1:6" s="1" customFormat="1" ht="29.4" thickBot="1" x14ac:dyDescent="0.3">
      <c r="A4" s="611"/>
      <c r="B4" s="611"/>
      <c r="C4" s="609"/>
      <c r="D4" s="112" t="s">
        <v>101</v>
      </c>
      <c r="E4" s="113" t="s">
        <v>106</v>
      </c>
      <c r="F4" s="611"/>
    </row>
    <row r="5" spans="1:6" s="1" customFormat="1" ht="18" x14ac:dyDescent="0.25">
      <c r="A5" s="612" t="s">
        <v>102</v>
      </c>
      <c r="B5" s="613"/>
      <c r="C5" s="613"/>
      <c r="D5" s="613"/>
      <c r="E5" s="613"/>
      <c r="F5" s="614"/>
    </row>
    <row r="6" spans="1:6" ht="18" x14ac:dyDescent="0.25">
      <c r="A6" s="615" t="s">
        <v>97</v>
      </c>
      <c r="B6" s="616"/>
      <c r="C6" s="616"/>
      <c r="D6" s="616"/>
      <c r="E6" s="616"/>
      <c r="F6" s="617"/>
    </row>
    <row r="7" spans="1:6" ht="15" thickBot="1" x14ac:dyDescent="0.3">
      <c r="A7" s="618" t="s">
        <v>84</v>
      </c>
      <c r="B7" s="549"/>
      <c r="C7" s="549"/>
      <c r="D7" s="549"/>
      <c r="E7" s="549"/>
      <c r="F7" s="619"/>
    </row>
    <row r="8" spans="1:6" s="99" customFormat="1" ht="18" customHeight="1" x14ac:dyDescent="0.25">
      <c r="A8" s="130" t="s">
        <v>7</v>
      </c>
      <c r="B8" s="108" t="s">
        <v>291</v>
      </c>
      <c r="C8" s="109">
        <f>('1b).Működési bevétel int.'!F7)+('1b).Működési bevétel int.'!F8)+('1b).Működési bevétel int.'!F9)</f>
        <v>8600000</v>
      </c>
      <c r="D8" s="108"/>
      <c r="E8" s="108"/>
      <c r="F8" s="110">
        <f>SUM(C8:E8)</f>
        <v>8600000</v>
      </c>
    </row>
    <row r="9" spans="1:6" s="99" customFormat="1" ht="14.4" x14ac:dyDescent="0.25">
      <c r="A9" s="120" t="s">
        <v>8</v>
      </c>
      <c r="B9" s="92" t="s">
        <v>98</v>
      </c>
      <c r="C9" s="102">
        <f>('1b).Működési bevétel int.'!F6)+('1b).Működési bevétel int.'!F11)</f>
        <v>665000</v>
      </c>
      <c r="D9" s="92"/>
      <c r="E9" s="92"/>
      <c r="F9" s="103">
        <f>SUM(C9:E9)</f>
        <v>665000</v>
      </c>
    </row>
    <row r="10" spans="1:6" s="99" customFormat="1" ht="14.4" x14ac:dyDescent="0.25">
      <c r="A10" s="120" t="s">
        <v>11</v>
      </c>
      <c r="B10" s="92" t="s">
        <v>111</v>
      </c>
      <c r="C10" s="102">
        <f>('1b).Működési bevétel int.'!F10)</f>
        <v>2000</v>
      </c>
      <c r="D10" s="92"/>
      <c r="E10" s="92"/>
      <c r="F10" s="103">
        <f>SUM(C10:E10)</f>
        <v>2000</v>
      </c>
    </row>
    <row r="11" spans="1:6" s="99" customFormat="1" ht="14.4" x14ac:dyDescent="0.25">
      <c r="A11" s="120" t="s">
        <v>12</v>
      </c>
      <c r="B11" s="92" t="s">
        <v>184</v>
      </c>
      <c r="C11" s="102">
        <v>0</v>
      </c>
      <c r="D11" s="92"/>
      <c r="E11" s="92"/>
      <c r="F11" s="103">
        <f>SUM(C11:E11)</f>
        <v>0</v>
      </c>
    </row>
    <row r="12" spans="1:6" s="99" customFormat="1" ht="14.4" x14ac:dyDescent="0.25">
      <c r="A12" s="120" t="s">
        <v>12</v>
      </c>
      <c r="B12" s="92" t="s">
        <v>30</v>
      </c>
      <c r="C12" s="92"/>
      <c r="D12" s="102">
        <f>('2).Bevétel intézmény'!H17)</f>
        <v>55000000</v>
      </c>
      <c r="E12" s="92"/>
      <c r="F12" s="103">
        <f t="shared" ref="F12:F20" si="0">SUM(C12:E12)</f>
        <v>55000000</v>
      </c>
    </row>
    <row r="13" spans="1:6" s="99" customFormat="1" ht="14.4" x14ac:dyDescent="0.25">
      <c r="A13" s="120" t="s">
        <v>13</v>
      </c>
      <c r="B13" s="92" t="s">
        <v>57</v>
      </c>
      <c r="C13" s="92"/>
      <c r="D13" s="102">
        <f>('2).Bevétel intézmény'!H18)</f>
        <v>351596</v>
      </c>
      <c r="E13" s="92"/>
      <c r="F13" s="103">
        <f t="shared" si="0"/>
        <v>351596</v>
      </c>
    </row>
    <row r="14" spans="1:6" s="99" customFormat="1" ht="15.75" customHeight="1" x14ac:dyDescent="0.25">
      <c r="A14" s="120" t="s">
        <v>14</v>
      </c>
      <c r="B14" s="92" t="s">
        <v>152</v>
      </c>
      <c r="C14" s="92"/>
      <c r="D14" s="102">
        <f>('2).Bevétel intézmény'!H20)</f>
        <v>100000</v>
      </c>
      <c r="E14" s="92"/>
      <c r="F14" s="103">
        <f t="shared" si="0"/>
        <v>100000</v>
      </c>
    </row>
    <row r="15" spans="1:6" s="99" customFormat="1" ht="17.25" customHeight="1" x14ac:dyDescent="0.25">
      <c r="A15" s="120" t="s">
        <v>15</v>
      </c>
      <c r="B15" s="92" t="s">
        <v>103</v>
      </c>
      <c r="C15" s="92"/>
      <c r="D15" s="92"/>
      <c r="E15" s="102">
        <f>(('1a).Normatíva'!E46))+'1a).Normatíva'!E65</f>
        <v>191786014</v>
      </c>
      <c r="F15" s="103">
        <f t="shared" si="0"/>
        <v>191786014</v>
      </c>
    </row>
    <row r="16" spans="1:6" s="99" customFormat="1" ht="16.5" customHeight="1" x14ac:dyDescent="0.25">
      <c r="A16" s="120" t="s">
        <v>16</v>
      </c>
      <c r="B16" s="92" t="s">
        <v>86</v>
      </c>
      <c r="C16" s="92"/>
      <c r="D16" s="92"/>
      <c r="E16" s="102">
        <f>'1a).Normatíva'!E75</f>
        <v>33582015</v>
      </c>
      <c r="F16" s="103">
        <f t="shared" si="0"/>
        <v>33582015</v>
      </c>
    </row>
    <row r="17" spans="1:6" s="99" customFormat="1" ht="16.5" customHeight="1" x14ac:dyDescent="0.25">
      <c r="A17" s="120" t="s">
        <v>17</v>
      </c>
      <c r="B17" s="92" t="s">
        <v>110</v>
      </c>
      <c r="C17" s="92"/>
      <c r="D17" s="92"/>
      <c r="E17" s="102">
        <f>'1a).Normatíva'!E72</f>
        <v>9500000</v>
      </c>
      <c r="F17" s="103">
        <f t="shared" si="0"/>
        <v>9500000</v>
      </c>
    </row>
    <row r="18" spans="1:6" s="99" customFormat="1" ht="16.5" customHeight="1" x14ac:dyDescent="0.25">
      <c r="A18" s="120" t="s">
        <v>18</v>
      </c>
      <c r="B18" s="92" t="s">
        <v>377</v>
      </c>
      <c r="C18" s="92"/>
      <c r="D18" s="92"/>
      <c r="E18" s="102">
        <f>'1a).Normatíva'!E74+'1a).Normatíva'!E67</f>
        <v>2042524</v>
      </c>
      <c r="F18" s="103">
        <f t="shared" si="0"/>
        <v>2042524</v>
      </c>
    </row>
    <row r="19" spans="1:6" s="99" customFormat="1" ht="16.5" customHeight="1" x14ac:dyDescent="0.25">
      <c r="A19" s="120" t="s">
        <v>19</v>
      </c>
      <c r="B19" s="92" t="s">
        <v>293</v>
      </c>
      <c r="C19" s="92"/>
      <c r="D19" s="92"/>
      <c r="E19" s="102">
        <f>'1a).Normatíva'!E77+'1a).Normatíva'!E79</f>
        <v>92998</v>
      </c>
      <c r="F19" s="103">
        <f t="shared" si="0"/>
        <v>92998</v>
      </c>
    </row>
    <row r="20" spans="1:6" s="101" customFormat="1" ht="20.25" customHeight="1" x14ac:dyDescent="0.25">
      <c r="A20" s="131" t="s">
        <v>7</v>
      </c>
      <c r="B20" s="104" t="s">
        <v>89</v>
      </c>
      <c r="C20" s="100">
        <f>SUM(C8:C18)</f>
        <v>9267000</v>
      </c>
      <c r="D20" s="100">
        <f>SUM(D8:D18)</f>
        <v>55451596</v>
      </c>
      <c r="E20" s="100">
        <f>SUM(E8:E19)</f>
        <v>237003551</v>
      </c>
      <c r="F20" s="100">
        <f t="shared" si="0"/>
        <v>301722147</v>
      </c>
    </row>
    <row r="21" spans="1:6" s="101" customFormat="1" ht="15.6" customHeight="1" thickBot="1" x14ac:dyDescent="0.3">
      <c r="A21" s="618" t="s">
        <v>104</v>
      </c>
      <c r="B21" s="549"/>
      <c r="C21" s="549"/>
      <c r="D21" s="549"/>
      <c r="E21" s="549"/>
      <c r="F21" s="619"/>
    </row>
    <row r="22" spans="1:6" s="99" customFormat="1" ht="14.4" x14ac:dyDescent="0.25">
      <c r="A22" s="130" t="s">
        <v>7</v>
      </c>
      <c r="B22" s="111" t="s">
        <v>432</v>
      </c>
      <c r="C22" s="108"/>
      <c r="D22" s="108"/>
      <c r="E22" s="109">
        <f>'1a).Normatíva'!E69</f>
        <v>1080000</v>
      </c>
      <c r="F22" s="110">
        <f>SUM(C22:E22)</f>
        <v>1080000</v>
      </c>
    </row>
    <row r="23" spans="1:6" s="101" customFormat="1" ht="14.4" x14ac:dyDescent="0.25">
      <c r="A23" s="131" t="s">
        <v>31</v>
      </c>
      <c r="B23" s="604" t="s">
        <v>90</v>
      </c>
      <c r="C23" s="605"/>
      <c r="D23" s="605"/>
      <c r="E23" s="606"/>
      <c r="F23" s="100">
        <f>SUM(F22:F22)</f>
        <v>1080000</v>
      </c>
    </row>
    <row r="24" spans="1:6" s="99" customFormat="1" ht="14.4" x14ac:dyDescent="0.25">
      <c r="A24" s="242"/>
      <c r="B24" s="243"/>
      <c r="C24" s="105"/>
      <c r="D24" s="105"/>
      <c r="E24" s="105"/>
      <c r="F24" s="105"/>
    </row>
    <row r="25" spans="1:6" s="101" customFormat="1" ht="28.5" customHeight="1" x14ac:dyDescent="0.25">
      <c r="A25" s="241" t="s">
        <v>27</v>
      </c>
      <c r="B25" s="244" t="s">
        <v>294</v>
      </c>
      <c r="C25" s="106">
        <f>C23+C20</f>
        <v>9267000</v>
      </c>
      <c r="D25" s="106">
        <f>D23+D20</f>
        <v>55451596</v>
      </c>
      <c r="E25" s="106">
        <f>(E20+E22)</f>
        <v>238083551</v>
      </c>
      <c r="F25" s="106">
        <f>SUM(C25:E25)</f>
        <v>302802147</v>
      </c>
    </row>
    <row r="26" spans="1:6" ht="15.6" x14ac:dyDescent="0.25">
      <c r="A26" s="126"/>
    </row>
    <row r="27" spans="1:6" ht="18.600000000000001" customHeight="1" thickBot="1" x14ac:dyDescent="0.3">
      <c r="A27" s="620" t="s">
        <v>94</v>
      </c>
      <c r="B27" s="621"/>
      <c r="C27" s="621"/>
      <c r="D27" s="621"/>
      <c r="E27" s="621"/>
      <c r="F27" s="622"/>
    </row>
    <row r="28" spans="1:6" s="1" customFormat="1" ht="29.4" thickBot="1" x14ac:dyDescent="0.3">
      <c r="A28" s="411" t="s">
        <v>427</v>
      </c>
      <c r="B28" s="411" t="s">
        <v>100</v>
      </c>
      <c r="C28" s="112" t="s">
        <v>29</v>
      </c>
      <c r="D28" s="112"/>
      <c r="E28" s="112" t="s">
        <v>106</v>
      </c>
      <c r="F28" s="112" t="s">
        <v>292</v>
      </c>
    </row>
    <row r="29" spans="1:6" s="1" customFormat="1" ht="20.25" customHeight="1" x14ac:dyDescent="0.25">
      <c r="A29" s="132" t="s">
        <v>7</v>
      </c>
      <c r="B29" s="114" t="s">
        <v>105</v>
      </c>
      <c r="C29" s="115"/>
      <c r="D29" s="116"/>
      <c r="E29" s="115"/>
      <c r="F29" s="115"/>
    </row>
    <row r="30" spans="1:6" s="97" customFormat="1" ht="25.5" customHeight="1" x14ac:dyDescent="0.25">
      <c r="A30" s="120"/>
      <c r="B30" s="107" t="s">
        <v>184</v>
      </c>
      <c r="C30" s="96">
        <f>('2).Bevétel intézmény'!H47)</f>
        <v>12282500</v>
      </c>
      <c r="D30" s="95"/>
      <c r="E30" s="95"/>
      <c r="F30" s="62">
        <f>SUM(C30:E30)</f>
        <v>12282500</v>
      </c>
    </row>
    <row r="31" spans="1:6" s="97" customFormat="1" ht="14.4" x14ac:dyDescent="0.25">
      <c r="A31" s="120"/>
      <c r="B31" s="107" t="s">
        <v>106</v>
      </c>
      <c r="C31" s="95"/>
      <c r="D31" s="95"/>
      <c r="E31" s="96">
        <f>('2).Bevétel intézmény'!H54)</f>
        <v>75726746</v>
      </c>
      <c r="F31" s="62">
        <f>SUM(C31:E31)</f>
        <v>75726746</v>
      </c>
    </row>
    <row r="32" spans="1:6" s="97" customFormat="1" ht="14.4" x14ac:dyDescent="0.25">
      <c r="A32" s="120"/>
      <c r="B32" s="93" t="s">
        <v>414</v>
      </c>
      <c r="C32" s="95"/>
      <c r="D32" s="95"/>
      <c r="E32" s="96">
        <f>('2).Bevétel intézmény'!H44)</f>
        <v>0</v>
      </c>
      <c r="F32" s="62">
        <f>SUM(C32:E32)</f>
        <v>0</v>
      </c>
    </row>
    <row r="33" spans="1:6" s="97" customFormat="1" ht="28.8" x14ac:dyDescent="0.25">
      <c r="A33" s="119" t="s">
        <v>31</v>
      </c>
      <c r="B33" s="94" t="s">
        <v>107</v>
      </c>
      <c r="C33" s="98">
        <f>SUM(C30:C32)</f>
        <v>12282500</v>
      </c>
      <c r="D33" s="98">
        <v>0</v>
      </c>
      <c r="E33" s="98">
        <f>SUM(E30:E32)</f>
        <v>75726746</v>
      </c>
      <c r="F33" s="98">
        <f>SUM(F30:F32)</f>
        <v>88009246</v>
      </c>
    </row>
    <row r="34" spans="1:6" x14ac:dyDescent="0.25">
      <c r="A34" s="127"/>
      <c r="B34" s="30"/>
      <c r="C34" s="31"/>
      <c r="D34" s="30"/>
      <c r="E34" s="31"/>
      <c r="F34" s="31"/>
    </row>
    <row r="35" spans="1:6" ht="18.600000000000001" customHeight="1" x14ac:dyDescent="0.25">
      <c r="A35" s="601" t="s">
        <v>541</v>
      </c>
      <c r="B35" s="602"/>
      <c r="C35" s="602"/>
      <c r="D35" s="602"/>
      <c r="E35" s="602"/>
      <c r="F35" s="603"/>
    </row>
    <row r="36" spans="1:6" s="1" customFormat="1" ht="29.4" thickBot="1" x14ac:dyDescent="0.3">
      <c r="A36" s="411" t="s">
        <v>427</v>
      </c>
      <c r="B36" s="411" t="s">
        <v>100</v>
      </c>
      <c r="C36" s="112" t="s">
        <v>29</v>
      </c>
      <c r="D36" s="112"/>
      <c r="E36" s="112" t="s">
        <v>106</v>
      </c>
      <c r="F36" s="112" t="s">
        <v>292</v>
      </c>
    </row>
    <row r="37" spans="1:6" s="1" customFormat="1" ht="18" customHeight="1" x14ac:dyDescent="0.25">
      <c r="A37" s="130"/>
      <c r="B37" s="72" t="s">
        <v>108</v>
      </c>
      <c r="C37" s="117"/>
      <c r="D37" s="117"/>
      <c r="E37" s="117"/>
      <c r="F37" s="118">
        <f>SUM(F34:F36)</f>
        <v>0</v>
      </c>
    </row>
    <row r="38" spans="1:6" s="1" customFormat="1" ht="14.4" x14ac:dyDescent="0.25">
      <c r="A38" s="120"/>
      <c r="B38" s="45" t="s">
        <v>109</v>
      </c>
      <c r="C38" s="96">
        <f>('2).Bevétel intézmény'!H79)</f>
        <v>3000</v>
      </c>
      <c r="D38" s="53"/>
      <c r="E38" s="53"/>
      <c r="F38" s="62">
        <f t="shared" ref="F38:F39" si="1">SUM(F36:F37)</f>
        <v>0</v>
      </c>
    </row>
    <row r="39" spans="1:6" s="1" customFormat="1" ht="26.25" customHeight="1" x14ac:dyDescent="0.25">
      <c r="A39" s="131" t="s">
        <v>7</v>
      </c>
      <c r="B39" s="82" t="s">
        <v>89</v>
      </c>
      <c r="C39" s="88">
        <f>SUM(C37:C38)</f>
        <v>3000</v>
      </c>
      <c r="D39" s="88">
        <f>SUM(D37:D38)</f>
        <v>0</v>
      </c>
      <c r="E39" s="88">
        <f>SUM(E37:E38)</f>
        <v>0</v>
      </c>
      <c r="F39" s="88">
        <f t="shared" si="1"/>
        <v>0</v>
      </c>
    </row>
    <row r="40" spans="1:6" ht="14.4" x14ac:dyDescent="0.25">
      <c r="A40" s="120"/>
      <c r="B40" s="45" t="s">
        <v>106</v>
      </c>
      <c r="C40" s="95"/>
      <c r="D40" s="95"/>
      <c r="E40" s="96">
        <f>('2).Bevétel intézmény'!H82)</f>
        <v>68682711</v>
      </c>
      <c r="F40" s="62">
        <f>SUM(C40:E40)</f>
        <v>68682711</v>
      </c>
    </row>
    <row r="41" spans="1:6" ht="28.8" x14ac:dyDescent="0.25">
      <c r="A41" s="119" t="s">
        <v>32</v>
      </c>
      <c r="B41" s="46" t="s">
        <v>435</v>
      </c>
      <c r="C41" s="98">
        <f>SUM(C39:C40)</f>
        <v>3000</v>
      </c>
      <c r="D41" s="98">
        <f t="shared" ref="D41:F41" si="2">SUM(D39:D40)</f>
        <v>0</v>
      </c>
      <c r="E41" s="98">
        <f t="shared" si="2"/>
        <v>68682711</v>
      </c>
      <c r="F41" s="98">
        <f t="shared" si="2"/>
        <v>68682711</v>
      </c>
    </row>
    <row r="42" spans="1:6" ht="20.25" customHeight="1" x14ac:dyDescent="0.25">
      <c r="A42" s="128"/>
      <c r="B42" s="26"/>
      <c r="C42" s="32"/>
      <c r="D42" s="32"/>
      <c r="E42" s="32"/>
      <c r="F42" s="32"/>
    </row>
    <row r="43" spans="1:6" ht="20.25" customHeight="1" x14ac:dyDescent="0.25">
      <c r="A43" s="598" t="s">
        <v>434</v>
      </c>
      <c r="B43" s="599"/>
      <c r="C43" s="599"/>
      <c r="D43" s="599"/>
      <c r="E43" s="599"/>
      <c r="F43" s="600"/>
    </row>
    <row r="44" spans="1:6" s="1" customFormat="1" ht="29.4" thickBot="1" x14ac:dyDescent="0.3">
      <c r="A44" s="411" t="s">
        <v>427</v>
      </c>
      <c r="B44" s="411" t="s">
        <v>100</v>
      </c>
      <c r="C44" s="112" t="s">
        <v>29</v>
      </c>
      <c r="D44" s="112"/>
      <c r="E44" s="112" t="s">
        <v>106</v>
      </c>
      <c r="F44" s="112" t="s">
        <v>292</v>
      </c>
    </row>
    <row r="45" spans="1:6" s="1" customFormat="1" ht="14.4" x14ac:dyDescent="0.25">
      <c r="A45" s="130"/>
      <c r="B45" s="72" t="s">
        <v>108</v>
      </c>
      <c r="C45" s="117"/>
      <c r="D45" s="117"/>
      <c r="E45" s="117"/>
      <c r="F45" s="118">
        <v>0</v>
      </c>
    </row>
    <row r="46" spans="1:6" s="1" customFormat="1" ht="22.95" customHeight="1" x14ac:dyDescent="0.25">
      <c r="A46" s="131" t="s">
        <v>7</v>
      </c>
      <c r="B46" s="82" t="s">
        <v>89</v>
      </c>
      <c r="C46" s="88">
        <f t="shared" ref="C46:D46" si="3">SUM(C45)</f>
        <v>0</v>
      </c>
      <c r="D46" s="88">
        <f t="shared" si="3"/>
        <v>0</v>
      </c>
      <c r="E46" s="88">
        <f>SUM(E45)</f>
        <v>0</v>
      </c>
      <c r="F46" s="88">
        <v>0</v>
      </c>
    </row>
    <row r="47" spans="1:6" ht="14.4" x14ac:dyDescent="0.25">
      <c r="A47" s="120"/>
      <c r="B47" s="45" t="s">
        <v>318</v>
      </c>
      <c r="C47" s="96">
        <f>('2).Bevétel intézmény'!H65)</f>
        <v>903000</v>
      </c>
      <c r="D47" s="53"/>
      <c r="E47" s="53"/>
      <c r="F47" s="62">
        <f>SUM(C47:E47)</f>
        <v>903000</v>
      </c>
    </row>
    <row r="48" spans="1:6" ht="14.4" x14ac:dyDescent="0.25">
      <c r="A48" s="120"/>
      <c r="B48" s="45" t="s">
        <v>106</v>
      </c>
      <c r="C48" s="95"/>
      <c r="D48" s="95"/>
      <c r="E48" s="96">
        <f>('2).Bevétel intézmény'!H68)</f>
        <v>33761118</v>
      </c>
      <c r="F48" s="62">
        <f>SUM(C48:E48)</f>
        <v>33761118</v>
      </c>
    </row>
    <row r="49" spans="1:6" ht="28.8" x14ac:dyDescent="0.25">
      <c r="A49" s="119" t="s">
        <v>33</v>
      </c>
      <c r="B49" s="46" t="s">
        <v>433</v>
      </c>
      <c r="C49" s="98">
        <f>SUM(C46:C48)</f>
        <v>903000</v>
      </c>
      <c r="D49" s="98">
        <f t="shared" ref="D49:F49" si="4">SUM(D46:D48)</f>
        <v>0</v>
      </c>
      <c r="E49" s="98">
        <f t="shared" si="4"/>
        <v>33761118</v>
      </c>
      <c r="F49" s="98">
        <f t="shared" si="4"/>
        <v>34664118</v>
      </c>
    </row>
    <row r="50" spans="1:6" ht="14.4" x14ac:dyDescent="0.25">
      <c r="A50" s="129"/>
      <c r="B50" s="35"/>
      <c r="C50" s="36"/>
      <c r="D50" s="35"/>
      <c r="E50" s="36"/>
      <c r="F50" s="36"/>
    </row>
    <row r="51" spans="1:6" ht="14.4" x14ac:dyDescent="0.3">
      <c r="A51" s="133"/>
      <c r="B51" s="33"/>
      <c r="C51" s="33"/>
      <c r="D51" s="33"/>
      <c r="E51" s="33"/>
      <c r="F51" s="33"/>
    </row>
    <row r="52" spans="1:6" ht="15.6" x14ac:dyDescent="0.25">
      <c r="A52" s="126"/>
    </row>
  </sheetData>
  <mergeCells count="13">
    <mergeCell ref="A43:F43"/>
    <mergeCell ref="A35:F35"/>
    <mergeCell ref="B23:E23"/>
    <mergeCell ref="A1:F1"/>
    <mergeCell ref="C3:C4"/>
    <mergeCell ref="B3:B4"/>
    <mergeCell ref="A5:F5"/>
    <mergeCell ref="A3:A4"/>
    <mergeCell ref="A6:F6"/>
    <mergeCell ref="F3:F4"/>
    <mergeCell ref="A21:F21"/>
    <mergeCell ref="A7:F7"/>
    <mergeCell ref="A27:F27"/>
  </mergeCells>
  <pageMargins left="0.70866141732283461" right="0.70866141732283461" top="0.74803149606299213" bottom="0.74803149606299213" header="0.31496062992125984" footer="0.31496062992125984"/>
  <pageSetup paperSize="9" scale="72" orientation="portrait" r:id="rId1"/>
  <headerFooter>
    <oddHeader>&amp;R2./a sz. melléklet
Ft-ban</oddHeader>
  </headerFooter>
  <ignoredErrors>
    <ignoredError sqref="F40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Munka18">
    <pageSetUpPr fitToPage="1"/>
  </sheetPr>
  <dimension ref="A1:J32"/>
  <sheetViews>
    <sheetView topLeftCell="A4" zoomScale="60" zoomScaleNormal="60" workbookViewId="0">
      <selection activeCell="I37" sqref="I37"/>
    </sheetView>
  </sheetViews>
  <sheetFormatPr defaultRowHeight="13.2" x14ac:dyDescent="0.25"/>
  <cols>
    <col min="1" max="1" width="3.6640625" bestFit="1" customWidth="1"/>
    <col min="2" max="2" width="5.44140625" style="431" bestFit="1" customWidth="1"/>
    <col min="3" max="3" width="40.21875" customWidth="1"/>
    <col min="4" max="6" width="17.88671875" bestFit="1" customWidth="1"/>
    <col min="7" max="7" width="16.88671875" bestFit="1" customWidth="1"/>
    <col min="8" max="8" width="15.5546875" customWidth="1"/>
    <col min="10" max="10" width="14" bestFit="1" customWidth="1"/>
    <col min="12" max="12" width="12.88671875" bestFit="1" customWidth="1"/>
  </cols>
  <sheetData>
    <row r="1" spans="1:10" ht="18" x14ac:dyDescent="0.25">
      <c r="A1" s="517" t="s">
        <v>507</v>
      </c>
      <c r="B1" s="517"/>
      <c r="C1" s="517"/>
      <c r="D1" s="517"/>
      <c r="E1" s="517"/>
      <c r="F1" s="517"/>
      <c r="G1" s="517"/>
      <c r="H1" s="517"/>
    </row>
    <row r="2" spans="1:10" s="3" customFormat="1" ht="15.6" x14ac:dyDescent="0.25">
      <c r="A2" s="126"/>
      <c r="B2" s="429"/>
    </row>
    <row r="3" spans="1:10" ht="28.8" x14ac:dyDescent="0.25">
      <c r="A3" s="518" t="s">
        <v>580</v>
      </c>
      <c r="B3" s="519"/>
      <c r="C3" s="520"/>
      <c r="D3" s="462" t="s">
        <v>483</v>
      </c>
      <c r="E3" s="463" t="s">
        <v>466</v>
      </c>
      <c r="F3" s="463" t="s">
        <v>443</v>
      </c>
      <c r="G3" s="463" t="s">
        <v>444</v>
      </c>
      <c r="H3" s="463" t="s">
        <v>445</v>
      </c>
    </row>
    <row r="4" spans="1:10" s="1" customFormat="1" ht="14.4" x14ac:dyDescent="0.25">
      <c r="A4" s="459" t="s">
        <v>121</v>
      </c>
      <c r="B4" s="522" t="s">
        <v>36</v>
      </c>
      <c r="C4" s="523"/>
      <c r="D4" s="123">
        <f>'3a).Személyi jutt intézmény'!C82</f>
        <v>177692961</v>
      </c>
      <c r="E4" s="123">
        <v>177198530</v>
      </c>
      <c r="F4" s="123">
        <v>183290341</v>
      </c>
      <c r="G4" s="123">
        <f>'3a).Személyi jutt intézmény'!F82</f>
        <v>194414627</v>
      </c>
      <c r="H4" s="123"/>
      <c r="J4" s="180"/>
    </row>
    <row r="5" spans="1:10" s="1" customFormat="1" ht="14.4" x14ac:dyDescent="0.25">
      <c r="A5" s="459" t="s">
        <v>120</v>
      </c>
      <c r="B5" s="522" t="s">
        <v>122</v>
      </c>
      <c r="C5" s="523"/>
      <c r="D5" s="123">
        <f>'3a).Személyi jutt intézmény'!C84</f>
        <v>29526816</v>
      </c>
      <c r="E5" s="123">
        <v>25874761</v>
      </c>
      <c r="F5" s="123">
        <v>26457285</v>
      </c>
      <c r="G5" s="123">
        <f>'3a).Személyi jutt intézmény'!F84</f>
        <v>31735495.75</v>
      </c>
      <c r="H5" s="123"/>
      <c r="J5" s="180"/>
    </row>
    <row r="6" spans="1:10" s="1" customFormat="1" ht="14.4" x14ac:dyDescent="0.25">
      <c r="A6" s="459" t="s">
        <v>123</v>
      </c>
      <c r="B6" s="522" t="s">
        <v>37</v>
      </c>
      <c r="C6" s="523"/>
      <c r="D6" s="123">
        <f>'3b).Dologi kiad intézmény'!C97</f>
        <v>90505000</v>
      </c>
      <c r="E6" s="123">
        <v>77072432</v>
      </c>
      <c r="F6" s="123">
        <v>75250000</v>
      </c>
      <c r="G6" s="123">
        <f>'3b).Dologi kiad intézmény'!F97</f>
        <v>85425000</v>
      </c>
      <c r="H6" s="123"/>
      <c r="J6" s="180"/>
    </row>
    <row r="7" spans="1:10" ht="14.4" x14ac:dyDescent="0.25">
      <c r="A7" s="461"/>
      <c r="B7" s="432" t="s">
        <v>542</v>
      </c>
      <c r="C7" s="282" t="s">
        <v>127</v>
      </c>
      <c r="D7" s="168">
        <v>0</v>
      </c>
      <c r="E7" s="168">
        <v>0</v>
      </c>
      <c r="F7" s="168">
        <v>0</v>
      </c>
      <c r="G7" s="168">
        <f>('4).Kiadás intézmény'!F8)</f>
        <v>0</v>
      </c>
      <c r="H7" s="168"/>
      <c r="J7" s="180"/>
    </row>
    <row r="8" spans="1:10" ht="14.4" x14ac:dyDescent="0.25">
      <c r="A8" s="461"/>
      <c r="B8" s="432" t="s">
        <v>543</v>
      </c>
      <c r="C8" s="466" t="s">
        <v>574</v>
      </c>
      <c r="D8" s="168">
        <v>0</v>
      </c>
      <c r="E8" s="168">
        <v>0</v>
      </c>
      <c r="F8" s="168">
        <v>0</v>
      </c>
      <c r="G8" s="168">
        <f>('4).Kiadás intézmény'!F9)</f>
        <v>0</v>
      </c>
      <c r="H8" s="168"/>
      <c r="J8" s="180"/>
    </row>
    <row r="9" spans="1:10" s="1" customFormat="1" ht="14.4" x14ac:dyDescent="0.25">
      <c r="A9" s="461"/>
      <c r="B9" s="432" t="s">
        <v>544</v>
      </c>
      <c r="C9" s="282" t="s">
        <v>130</v>
      </c>
      <c r="D9" s="168">
        <v>2800000</v>
      </c>
      <c r="E9" s="168">
        <v>2800000</v>
      </c>
      <c r="F9" s="168">
        <v>2800000</v>
      </c>
      <c r="G9" s="168">
        <f>('4).Kiadás intézmény'!F10)</f>
        <v>2800000</v>
      </c>
      <c r="H9" s="168"/>
      <c r="J9" s="180"/>
    </row>
    <row r="10" spans="1:10" s="1" customFormat="1" ht="14.4" x14ac:dyDescent="0.25">
      <c r="A10" s="459" t="s">
        <v>124</v>
      </c>
      <c r="B10" s="522" t="s">
        <v>125</v>
      </c>
      <c r="C10" s="523"/>
      <c r="D10" s="123">
        <f>SUM(D7:D9)</f>
        <v>2800000</v>
      </c>
      <c r="E10" s="123">
        <v>2800000</v>
      </c>
      <c r="F10" s="123">
        <v>2800000</v>
      </c>
      <c r="G10" s="123">
        <f>SUM(G7:G9)</f>
        <v>2800000</v>
      </c>
      <c r="H10" s="123"/>
      <c r="J10" s="180"/>
    </row>
    <row r="11" spans="1:10" ht="14.4" x14ac:dyDescent="0.25">
      <c r="A11" s="461"/>
      <c r="B11" s="125" t="s">
        <v>338</v>
      </c>
      <c r="C11" s="282" t="s">
        <v>339</v>
      </c>
      <c r="D11" s="168">
        <v>0</v>
      </c>
      <c r="E11" s="168">
        <v>2540</v>
      </c>
      <c r="F11" s="168">
        <v>2540</v>
      </c>
      <c r="G11" s="168">
        <f>('4).Kiadás intézmény'!F12)</f>
        <v>2540</v>
      </c>
      <c r="H11" s="168"/>
      <c r="J11" s="180"/>
    </row>
    <row r="12" spans="1:10" ht="14.4" x14ac:dyDescent="0.25">
      <c r="A12" s="461"/>
      <c r="B12" s="125" t="s">
        <v>378</v>
      </c>
      <c r="C12" s="466" t="s">
        <v>575</v>
      </c>
      <c r="D12" s="168">
        <v>520000</v>
      </c>
      <c r="E12" s="168">
        <v>520000</v>
      </c>
      <c r="F12" s="168">
        <v>520000</v>
      </c>
      <c r="G12" s="168">
        <f>('4).Kiadás intézmény'!F13)</f>
        <v>520000</v>
      </c>
      <c r="H12" s="168"/>
      <c r="J12" s="180"/>
    </row>
    <row r="13" spans="1:10" s="6" customFormat="1" ht="15" x14ac:dyDescent="0.25">
      <c r="A13" s="461"/>
      <c r="B13" s="125" t="s">
        <v>340</v>
      </c>
      <c r="C13" s="479" t="s">
        <v>598</v>
      </c>
      <c r="D13" s="168">
        <v>0</v>
      </c>
      <c r="E13" s="168">
        <v>0</v>
      </c>
      <c r="F13" s="168">
        <v>0</v>
      </c>
      <c r="G13" s="168">
        <f>('4).Kiadás intézmény'!F14)</f>
        <v>0</v>
      </c>
      <c r="H13" s="168"/>
      <c r="J13" s="180"/>
    </row>
    <row r="14" spans="1:10" ht="14.4" x14ac:dyDescent="0.25">
      <c r="A14" s="461"/>
      <c r="B14" s="125" t="s">
        <v>364</v>
      </c>
      <c r="C14" s="466" t="s">
        <v>576</v>
      </c>
      <c r="D14" s="168">
        <v>3360000</v>
      </c>
      <c r="E14" s="168">
        <v>490000</v>
      </c>
      <c r="F14" s="168">
        <v>1215000</v>
      </c>
      <c r="G14" s="168">
        <f>('4).Kiadás intézmény'!F19)</f>
        <v>1515000</v>
      </c>
      <c r="H14" s="168"/>
      <c r="J14" s="180"/>
    </row>
    <row r="15" spans="1:10" s="1" customFormat="1" ht="14.4" x14ac:dyDescent="0.25">
      <c r="A15" s="461"/>
      <c r="B15" s="125" t="s">
        <v>365</v>
      </c>
      <c r="C15" s="55" t="s">
        <v>406</v>
      </c>
      <c r="D15" s="168">
        <v>69637249</v>
      </c>
      <c r="E15" s="168">
        <v>61256463</v>
      </c>
      <c r="F15" s="168">
        <v>73510419</v>
      </c>
      <c r="G15" s="168">
        <f>('4).Kiadás intézmény'!F20)</f>
        <v>39459908</v>
      </c>
      <c r="H15" s="168"/>
      <c r="J15" s="180"/>
    </row>
    <row r="16" spans="1:10" s="1" customFormat="1" ht="14.4" x14ac:dyDescent="0.25">
      <c r="A16" s="459" t="s">
        <v>131</v>
      </c>
      <c r="B16" s="522" t="s">
        <v>132</v>
      </c>
      <c r="C16" s="523"/>
      <c r="D16" s="123">
        <f>(D11+D12+D13+D14+D15)</f>
        <v>73517249</v>
      </c>
      <c r="E16" s="123">
        <v>62269003</v>
      </c>
      <c r="F16" s="123">
        <v>75247959</v>
      </c>
      <c r="G16" s="123">
        <f>(G11+G12+G13+G14+G15)</f>
        <v>41497448</v>
      </c>
      <c r="H16" s="123"/>
      <c r="J16" s="180"/>
    </row>
    <row r="17" spans="1:10" ht="14.4" x14ac:dyDescent="0.25">
      <c r="A17" s="461"/>
      <c r="B17" s="430" t="s">
        <v>407</v>
      </c>
      <c r="C17" s="282" t="s">
        <v>346</v>
      </c>
      <c r="D17" s="168">
        <v>540000</v>
      </c>
      <c r="E17" s="168">
        <v>540000</v>
      </c>
      <c r="F17" s="168">
        <v>320000</v>
      </c>
      <c r="G17" s="168">
        <f>('1c).Beruházás felújítás'!$H72)</f>
        <v>320000</v>
      </c>
      <c r="H17" s="168"/>
      <c r="J17" s="180"/>
    </row>
    <row r="18" spans="1:10" ht="14.4" x14ac:dyDescent="0.25">
      <c r="A18" s="461"/>
      <c r="B18" s="430" t="s">
        <v>408</v>
      </c>
      <c r="C18" s="282" t="s">
        <v>185</v>
      </c>
      <c r="D18" s="168">
        <v>8717805</v>
      </c>
      <c r="E18" s="168">
        <v>7342350</v>
      </c>
      <c r="F18" s="168">
        <v>10868349.606299212</v>
      </c>
      <c r="G18" s="168">
        <f>('1c).Beruházás felújítás'!$H73)</f>
        <v>12374633.070866141</v>
      </c>
      <c r="H18" s="168"/>
      <c r="J18" s="180"/>
    </row>
    <row r="19" spans="1:10" ht="14.4" x14ac:dyDescent="0.25">
      <c r="A19" s="461"/>
      <c r="B19" s="430" t="s">
        <v>409</v>
      </c>
      <c r="C19" s="466" t="s">
        <v>577</v>
      </c>
      <c r="D19" s="168">
        <v>2218807</v>
      </c>
      <c r="E19" s="168">
        <v>1847434</v>
      </c>
      <c r="F19" s="168">
        <v>2934454.3937007873</v>
      </c>
      <c r="G19" s="168">
        <f>('1c).Beruházás felújítás'!$H74)</f>
        <v>3341150.9291338585</v>
      </c>
      <c r="H19" s="168"/>
      <c r="J19" s="180"/>
    </row>
    <row r="20" spans="1:10" s="1" customFormat="1" ht="14.4" x14ac:dyDescent="0.25">
      <c r="A20" s="459" t="s">
        <v>133</v>
      </c>
      <c r="B20" s="522" t="s">
        <v>35</v>
      </c>
      <c r="C20" s="523"/>
      <c r="D20" s="123">
        <f>SUM(D17:D19)</f>
        <v>11476612</v>
      </c>
      <c r="E20" s="123">
        <v>9729784</v>
      </c>
      <c r="F20" s="123">
        <v>14122804</v>
      </c>
      <c r="G20" s="123">
        <f>SUM(G17:G19)</f>
        <v>16035784</v>
      </c>
      <c r="H20" s="123"/>
      <c r="J20" s="180"/>
    </row>
    <row r="21" spans="1:10" ht="14.4" x14ac:dyDescent="0.25">
      <c r="A21" s="461"/>
      <c r="B21" s="125" t="s">
        <v>410</v>
      </c>
      <c r="C21" s="282" t="s">
        <v>186</v>
      </c>
      <c r="D21" s="168">
        <v>119180948</v>
      </c>
      <c r="E21" s="168">
        <v>139850152</v>
      </c>
      <c r="F21" s="168">
        <v>125454006.17322837</v>
      </c>
      <c r="G21" s="168">
        <f>('1c).Beruházás felújítás'!$H76)</f>
        <v>122768507.74803151</v>
      </c>
      <c r="H21" s="168"/>
      <c r="J21" s="180"/>
    </row>
    <row r="22" spans="1:10" ht="14.4" x14ac:dyDescent="0.25">
      <c r="A22" s="461"/>
      <c r="B22" s="125" t="s">
        <v>411</v>
      </c>
      <c r="C22" s="466" t="s">
        <v>578</v>
      </c>
      <c r="D22" s="168">
        <v>32178866</v>
      </c>
      <c r="E22" s="168">
        <v>37759551</v>
      </c>
      <c r="F22" s="168">
        <v>33872591.826771647</v>
      </c>
      <c r="G22" s="168">
        <f>('1c).Beruházás felújítás'!$H77)</f>
        <v>33147507.251968496</v>
      </c>
      <c r="H22" s="168"/>
      <c r="J22" s="180"/>
    </row>
    <row r="23" spans="1:10" s="1" customFormat="1" ht="14.4" x14ac:dyDescent="0.25">
      <c r="A23" s="459" t="s">
        <v>134</v>
      </c>
      <c r="B23" s="522" t="s">
        <v>38</v>
      </c>
      <c r="C23" s="523"/>
      <c r="D23" s="123">
        <f>SUM(D21:D22)</f>
        <v>151359814</v>
      </c>
      <c r="E23" s="123">
        <v>177609703</v>
      </c>
      <c r="F23" s="123">
        <v>159326598</v>
      </c>
      <c r="G23" s="123">
        <f>SUM(G21:G22)</f>
        <v>155916015</v>
      </c>
      <c r="H23" s="123"/>
      <c r="J23" s="180"/>
    </row>
    <row r="24" spans="1:10" ht="14.4" x14ac:dyDescent="0.25">
      <c r="A24" s="461"/>
      <c r="B24" s="473" t="s">
        <v>582</v>
      </c>
      <c r="C24" s="498" t="s">
        <v>583</v>
      </c>
      <c r="D24" s="168">
        <f>('4).Kiadás intézmény'!C29)</f>
        <v>0</v>
      </c>
      <c r="E24" s="168">
        <v>0</v>
      </c>
      <c r="F24" s="168">
        <v>52616</v>
      </c>
      <c r="G24" s="168">
        <f>('4).Kiadás intézmény'!F29)</f>
        <v>52616</v>
      </c>
      <c r="H24" s="168"/>
      <c r="J24" s="180"/>
    </row>
    <row r="25" spans="1:10" ht="14.4" x14ac:dyDescent="0.25">
      <c r="A25" s="461"/>
      <c r="B25" s="125" t="s">
        <v>412</v>
      </c>
      <c r="C25" s="466" t="s">
        <v>581</v>
      </c>
      <c r="D25" s="168">
        <f>('4).Kiadás intézmény'!C30)</f>
        <v>0</v>
      </c>
      <c r="E25" s="168">
        <v>0</v>
      </c>
      <c r="F25" s="168">
        <v>0</v>
      </c>
      <c r="G25" s="168">
        <f>('4).Kiadás intézmény'!F30)</f>
        <v>0</v>
      </c>
      <c r="H25" s="168"/>
      <c r="J25" s="180"/>
    </row>
    <row r="26" spans="1:10" s="1" customFormat="1" ht="14.4" x14ac:dyDescent="0.25">
      <c r="A26" s="459" t="s">
        <v>135</v>
      </c>
      <c r="B26" s="522" t="s">
        <v>136</v>
      </c>
      <c r="C26" s="523"/>
      <c r="D26" s="123">
        <f t="shared" ref="D26" si="0">SUM(D24:D25)</f>
        <v>0</v>
      </c>
      <c r="E26" s="123">
        <v>0</v>
      </c>
      <c r="F26" s="123">
        <v>52616</v>
      </c>
      <c r="G26" s="123">
        <f>SUM(G24:G25)</f>
        <v>52616</v>
      </c>
      <c r="H26" s="123"/>
      <c r="J26" s="180"/>
    </row>
    <row r="27" spans="1:10" s="2" customFormat="1" ht="15.6" x14ac:dyDescent="0.3">
      <c r="A27" s="524" t="s">
        <v>546</v>
      </c>
      <c r="B27" s="525"/>
      <c r="C27" s="290" t="s">
        <v>328</v>
      </c>
      <c r="D27" s="124">
        <f>(D4+D5+D6+D10+D16+D20+D23+D26)</f>
        <v>536878452</v>
      </c>
      <c r="E27" s="124">
        <v>532554213</v>
      </c>
      <c r="F27" s="124">
        <v>536547603</v>
      </c>
      <c r="G27" s="124">
        <f>(G4+G5+G6+G10+G16+G20+G23+G26)</f>
        <v>527876985.75</v>
      </c>
      <c r="H27" s="124"/>
      <c r="J27" s="180"/>
    </row>
    <row r="28" spans="1:10" ht="14.4" x14ac:dyDescent="0.25">
      <c r="A28" s="461"/>
      <c r="B28" s="432" t="s">
        <v>321</v>
      </c>
      <c r="C28" s="466" t="s">
        <v>579</v>
      </c>
      <c r="D28" s="168">
        <f>('2).Bevétel intézmény'!E39)</f>
        <v>6778442</v>
      </c>
      <c r="E28" s="168">
        <v>6778442</v>
      </c>
      <c r="F28" s="168">
        <v>6778442</v>
      </c>
      <c r="G28" s="168">
        <f>('2).Bevétel intézmény'!H39)</f>
        <v>6778442</v>
      </c>
      <c r="H28" s="168"/>
      <c r="J28" s="180"/>
    </row>
    <row r="29" spans="1:10" s="2" customFormat="1" ht="15.6" x14ac:dyDescent="0.3">
      <c r="A29" s="524" t="s">
        <v>137</v>
      </c>
      <c r="B29" s="525" t="s">
        <v>138</v>
      </c>
      <c r="C29" s="460"/>
      <c r="D29" s="124">
        <f>D28</f>
        <v>6778442</v>
      </c>
      <c r="E29" s="124">
        <v>6778442</v>
      </c>
      <c r="F29" s="124">
        <v>6778442</v>
      </c>
      <c r="G29" s="124">
        <f>G28</f>
        <v>6778442</v>
      </c>
      <c r="H29" s="124"/>
      <c r="J29" s="180"/>
    </row>
    <row r="30" spans="1:10" s="9" customFormat="1" ht="18" x14ac:dyDescent="0.35">
      <c r="A30" s="513" t="s">
        <v>330</v>
      </c>
      <c r="B30" s="513"/>
      <c r="C30" s="513"/>
      <c r="D30" s="157">
        <f>(D27+D29)</f>
        <v>543656894</v>
      </c>
      <c r="E30" s="157">
        <v>539332655</v>
      </c>
      <c r="F30" s="157">
        <v>543326045</v>
      </c>
      <c r="G30" s="157">
        <f>(G27+G29)</f>
        <v>534655427.75</v>
      </c>
      <c r="H30" s="157"/>
      <c r="J30" s="180"/>
    </row>
    <row r="31" spans="1:10" ht="14.4" x14ac:dyDescent="0.25">
      <c r="A31" s="461"/>
      <c r="B31" s="432" t="s">
        <v>545</v>
      </c>
      <c r="C31" s="282" t="s">
        <v>299</v>
      </c>
      <c r="D31" s="168">
        <f>('1).Bevételek összesen'!E36)</f>
        <v>159633951</v>
      </c>
      <c r="E31" s="168">
        <v>159633951</v>
      </c>
      <c r="F31" s="168">
        <v>161183328</v>
      </c>
      <c r="G31" s="168">
        <f>('1).Bevételek összesen'!H36)</f>
        <v>178104802</v>
      </c>
      <c r="H31" s="168"/>
      <c r="J31" s="180"/>
    </row>
    <row r="32" spans="1:10" s="6" customFormat="1" ht="15.6" x14ac:dyDescent="0.25">
      <c r="A32" s="521" t="s">
        <v>40</v>
      </c>
      <c r="B32" s="521"/>
      <c r="C32" s="521"/>
      <c r="D32" s="158">
        <f>SUM(D30:D31)</f>
        <v>703290845</v>
      </c>
      <c r="E32" s="158">
        <v>698966606</v>
      </c>
      <c r="F32" s="158">
        <v>704509373</v>
      </c>
      <c r="G32" s="158">
        <f>SUM(G30:G31)</f>
        <v>712760229.75</v>
      </c>
      <c r="H32" s="158"/>
      <c r="J32" s="180"/>
    </row>
  </sheetData>
  <mergeCells count="14">
    <mergeCell ref="A1:H1"/>
    <mergeCell ref="A3:C3"/>
    <mergeCell ref="A32:C32"/>
    <mergeCell ref="B4:C4"/>
    <mergeCell ref="B5:C5"/>
    <mergeCell ref="B6:C6"/>
    <mergeCell ref="B10:C10"/>
    <mergeCell ref="B16:C16"/>
    <mergeCell ref="B20:C20"/>
    <mergeCell ref="B23:C23"/>
    <mergeCell ref="A27:B27"/>
    <mergeCell ref="A29:B29"/>
    <mergeCell ref="A30:C30"/>
    <mergeCell ref="B26:C26"/>
  </mergeCells>
  <phoneticPr fontId="38" type="noConversion"/>
  <printOptions horizontalCentered="1" verticalCentered="1"/>
  <pageMargins left="0.25" right="0.25" top="0.75" bottom="0.75" header="0.3" footer="0.3"/>
  <pageSetup paperSize="9" orientation="landscape" r:id="rId1"/>
  <headerFooter>
    <oddHeader>&amp;R3. sz. melléklet
Ft-ban</oddHeader>
  </headerFooter>
  <ignoredErrors>
    <ignoredError sqref="D10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Munka1">
    <pageSetUpPr fitToPage="1"/>
  </sheetPr>
  <dimension ref="A1:I90"/>
  <sheetViews>
    <sheetView topLeftCell="A58" zoomScale="60" zoomScaleNormal="60" workbookViewId="0">
      <pane xSplit="1" topLeftCell="B1" activePane="topRight" state="frozen"/>
      <selection activeCell="N48" sqref="N48"/>
      <selection pane="topRight" activeCell="F67" sqref="F67"/>
    </sheetView>
  </sheetViews>
  <sheetFormatPr defaultColWidth="9.109375" defaultRowHeight="13.2" x14ac:dyDescent="0.25"/>
  <cols>
    <col min="1" max="1" width="7.77734375" style="3" customWidth="1"/>
    <col min="2" max="2" width="53.88671875" style="3" customWidth="1"/>
    <col min="3" max="3" width="16.88671875" style="21" bestFit="1" customWidth="1"/>
    <col min="4" max="4" width="18.44140625" style="21" customWidth="1"/>
    <col min="5" max="5" width="17.33203125" style="21" customWidth="1"/>
    <col min="6" max="6" width="16.109375" style="21" customWidth="1"/>
    <col min="7" max="7" width="17.88671875" style="21" customWidth="1"/>
    <col min="8" max="16384" width="9.109375" style="21"/>
  </cols>
  <sheetData>
    <row r="1" spans="1:7" customFormat="1" ht="18" x14ac:dyDescent="0.25">
      <c r="A1" s="625" t="s">
        <v>492</v>
      </c>
      <c r="B1" s="626"/>
      <c r="C1" s="626"/>
      <c r="D1" s="626"/>
      <c r="E1" s="626"/>
      <c r="F1" s="626"/>
      <c r="G1" s="627"/>
    </row>
    <row r="2" spans="1:7" customFormat="1" ht="18" x14ac:dyDescent="0.25">
      <c r="A2" s="510" t="s">
        <v>484</v>
      </c>
      <c r="B2" s="511"/>
      <c r="C2" s="511"/>
      <c r="D2" s="511"/>
      <c r="E2" s="511"/>
      <c r="F2" s="511"/>
      <c r="G2" s="512"/>
    </row>
    <row r="3" spans="1:7" s="3" customFormat="1" ht="15.6" x14ac:dyDescent="0.25">
      <c r="A3" s="126"/>
    </row>
    <row r="4" spans="1:7" s="192" customFormat="1" ht="31.8" thickBot="1" x14ac:dyDescent="0.3">
      <c r="A4" s="628" t="s">
        <v>397</v>
      </c>
      <c r="B4" s="629"/>
      <c r="C4" s="376" t="s">
        <v>483</v>
      </c>
      <c r="D4" s="285" t="s">
        <v>466</v>
      </c>
      <c r="E4" s="285" t="s">
        <v>443</v>
      </c>
      <c r="F4" s="285" t="s">
        <v>444</v>
      </c>
      <c r="G4" s="285" t="s">
        <v>445</v>
      </c>
    </row>
    <row r="5" spans="1:7" s="3" customFormat="1" ht="15.6" x14ac:dyDescent="0.25">
      <c r="A5" s="292" t="s">
        <v>207</v>
      </c>
      <c r="B5" s="231" t="s">
        <v>208</v>
      </c>
      <c r="C5" s="278">
        <v>15574245</v>
      </c>
      <c r="D5" s="354">
        <v>15410400</v>
      </c>
      <c r="E5" s="354">
        <f>15410400+375000</f>
        <v>15785400</v>
      </c>
      <c r="F5" s="454">
        <v>15926800</v>
      </c>
      <c r="G5" s="254"/>
    </row>
    <row r="6" spans="1:7" s="3" customFormat="1" ht="15.6" x14ac:dyDescent="0.25">
      <c r="A6" s="292" t="s">
        <v>207</v>
      </c>
      <c r="B6" s="231" t="s">
        <v>494</v>
      </c>
      <c r="C6" s="278">
        <v>28952800</v>
      </c>
      <c r="D6" s="354">
        <f>11305350+19223400</f>
        <v>30528750</v>
      </c>
      <c r="E6" s="354">
        <f>11305350+19223400</f>
        <v>30528750</v>
      </c>
      <c r="F6" s="454">
        <v>30528750</v>
      </c>
      <c r="G6" s="254"/>
    </row>
    <row r="7" spans="1:7" s="3" customFormat="1" ht="15.6" x14ac:dyDescent="0.25">
      <c r="A7" s="453" t="s">
        <v>207</v>
      </c>
      <c r="B7" s="457" t="s">
        <v>569</v>
      </c>
      <c r="C7" s="278">
        <v>0</v>
      </c>
      <c r="D7" s="354">
        <v>0</v>
      </c>
      <c r="E7" s="354">
        <v>1690500</v>
      </c>
      <c r="F7" s="454">
        <v>1690500</v>
      </c>
      <c r="G7" s="254"/>
    </row>
    <row r="8" spans="1:7" s="3" customFormat="1" ht="15.6" x14ac:dyDescent="0.25">
      <c r="A8" s="687" t="s">
        <v>625</v>
      </c>
      <c r="B8" s="688" t="s">
        <v>626</v>
      </c>
      <c r="C8" s="278">
        <v>0</v>
      </c>
      <c r="D8" s="354">
        <v>0</v>
      </c>
      <c r="E8" s="354">
        <v>0</v>
      </c>
      <c r="F8" s="454">
        <v>395114</v>
      </c>
      <c r="G8" s="254"/>
    </row>
    <row r="9" spans="1:7" s="3" customFormat="1" ht="15.6" x14ac:dyDescent="0.25">
      <c r="A9" s="292" t="s">
        <v>210</v>
      </c>
      <c r="B9" s="231" t="s">
        <v>211</v>
      </c>
      <c r="C9" s="278">
        <v>243288</v>
      </c>
      <c r="D9" s="354">
        <v>243288</v>
      </c>
      <c r="E9" s="278">
        <v>243288</v>
      </c>
      <c r="F9" s="454">
        <v>243288</v>
      </c>
      <c r="G9" s="254"/>
    </row>
    <row r="10" spans="1:7" s="3" customFormat="1" ht="15.6" x14ac:dyDescent="0.25">
      <c r="A10" s="292" t="s">
        <v>212</v>
      </c>
      <c r="B10" s="231" t="s">
        <v>213</v>
      </c>
      <c r="C10" s="278">
        <v>0</v>
      </c>
      <c r="D10" s="354">
        <v>0</v>
      </c>
      <c r="E10" s="278">
        <v>0</v>
      </c>
      <c r="F10" s="454">
        <v>0</v>
      </c>
      <c r="G10" s="254"/>
    </row>
    <row r="11" spans="1:7" s="3" customFormat="1" ht="15.6" x14ac:dyDescent="0.25">
      <c r="A11" s="292" t="s">
        <v>214</v>
      </c>
      <c r="B11" s="231" t="s">
        <v>215</v>
      </c>
      <c r="C11" s="278">
        <v>0</v>
      </c>
      <c r="D11" s="354">
        <v>0</v>
      </c>
      <c r="E11" s="278">
        <v>0</v>
      </c>
      <c r="F11" s="454">
        <v>0</v>
      </c>
      <c r="G11" s="254"/>
    </row>
    <row r="12" spans="1:7" s="3" customFormat="1" ht="15.6" x14ac:dyDescent="0.25">
      <c r="A12" s="292" t="s">
        <v>216</v>
      </c>
      <c r="B12" s="231" t="s">
        <v>217</v>
      </c>
      <c r="C12" s="278">
        <v>0</v>
      </c>
      <c r="D12" s="354">
        <v>0</v>
      </c>
      <c r="E12" s="278">
        <v>0</v>
      </c>
      <c r="F12" s="454">
        <v>0</v>
      </c>
      <c r="G12" s="254"/>
    </row>
    <row r="13" spans="1:7" s="3" customFormat="1" ht="15.6" x14ac:dyDescent="0.25">
      <c r="A13" s="292" t="s">
        <v>218</v>
      </c>
      <c r="B13" s="231" t="s">
        <v>219</v>
      </c>
      <c r="C13" s="278">
        <v>1000000</v>
      </c>
      <c r="D13" s="354">
        <v>1000000</v>
      </c>
      <c r="E13" s="278">
        <v>1500000</v>
      </c>
      <c r="F13" s="454">
        <v>1500000</v>
      </c>
      <c r="G13" s="254"/>
    </row>
    <row r="14" spans="1:7" s="1" customFormat="1" ht="15.6" x14ac:dyDescent="0.25">
      <c r="A14" s="283" t="s">
        <v>401</v>
      </c>
      <c r="B14" s="236" t="s">
        <v>220</v>
      </c>
      <c r="C14" s="357">
        <f>SUM(C5:C13)</f>
        <v>45770333</v>
      </c>
      <c r="D14" s="356">
        <f>SUM(D5:D13)</f>
        <v>47182438</v>
      </c>
      <c r="E14" s="356">
        <f>SUM(E5:E13)</f>
        <v>49747938</v>
      </c>
      <c r="F14" s="356">
        <f>SUM(F5:F13)</f>
        <v>50284452</v>
      </c>
      <c r="G14" s="252"/>
    </row>
    <row r="15" spans="1:7" s="3" customFormat="1" ht="15.6" x14ac:dyDescent="0.25">
      <c r="A15" s="292" t="s">
        <v>221</v>
      </c>
      <c r="B15" s="231" t="s">
        <v>222</v>
      </c>
      <c r="C15" s="278">
        <v>11500000</v>
      </c>
      <c r="D15" s="354">
        <v>11212800</v>
      </c>
      <c r="E15" s="278">
        <v>11212800</v>
      </c>
      <c r="F15" s="454">
        <v>10782000</v>
      </c>
      <c r="G15" s="254"/>
    </row>
    <row r="16" spans="1:7" s="1" customFormat="1" ht="15.6" x14ac:dyDescent="0.25">
      <c r="A16" s="292" t="s">
        <v>223</v>
      </c>
      <c r="B16" s="231" t="s">
        <v>343</v>
      </c>
      <c r="C16" s="278">
        <v>800000</v>
      </c>
      <c r="D16" s="354">
        <v>800000</v>
      </c>
      <c r="E16" s="278">
        <v>1000000</v>
      </c>
      <c r="F16" s="454">
        <v>1100000</v>
      </c>
      <c r="G16" s="254"/>
    </row>
    <row r="17" spans="1:7" s="3" customFormat="1" ht="15.6" x14ac:dyDescent="0.25">
      <c r="A17" s="292" t="s">
        <v>224</v>
      </c>
      <c r="B17" s="231" t="s">
        <v>225</v>
      </c>
      <c r="C17" s="278">
        <v>1300000</v>
      </c>
      <c r="D17" s="354">
        <v>700000</v>
      </c>
      <c r="E17" s="278">
        <v>700000</v>
      </c>
      <c r="F17" s="454">
        <v>700000</v>
      </c>
      <c r="G17" s="254"/>
    </row>
    <row r="18" spans="1:7" s="1" customFormat="1" ht="14.4" customHeight="1" x14ac:dyDescent="0.25">
      <c r="A18" s="283" t="s">
        <v>402</v>
      </c>
      <c r="B18" s="236" t="s">
        <v>226</v>
      </c>
      <c r="C18" s="357">
        <f>SUM(C15:C17)</f>
        <v>13600000</v>
      </c>
      <c r="D18" s="356">
        <f>SUM(D15:D17)</f>
        <v>12712800</v>
      </c>
      <c r="E18" s="356">
        <f>SUM(E15:E17)</f>
        <v>12912800</v>
      </c>
      <c r="F18" s="356">
        <f>SUM(F15:F17)</f>
        <v>12582000</v>
      </c>
      <c r="G18" s="252"/>
    </row>
    <row r="19" spans="1:7" s="1" customFormat="1" ht="13.95" customHeight="1" x14ac:dyDescent="0.25">
      <c r="A19" s="287" t="s">
        <v>227</v>
      </c>
      <c r="B19" s="232" t="s">
        <v>42</v>
      </c>
      <c r="C19" s="359">
        <f>(C14+C18)</f>
        <v>59370333</v>
      </c>
      <c r="D19" s="358">
        <f>(D14+D18)</f>
        <v>59895238</v>
      </c>
      <c r="E19" s="358">
        <f>(E14+E18)</f>
        <v>62660738</v>
      </c>
      <c r="F19" s="358">
        <f>(F14+F18)</f>
        <v>62866452</v>
      </c>
      <c r="G19" s="257"/>
    </row>
    <row r="20" spans="1:7" s="3" customFormat="1" ht="15.6" x14ac:dyDescent="0.25">
      <c r="A20" s="292" t="s">
        <v>230</v>
      </c>
      <c r="B20" s="231" t="s">
        <v>45</v>
      </c>
      <c r="C20" s="278">
        <v>5685720</v>
      </c>
      <c r="D20" s="354">
        <v>2542716</v>
      </c>
      <c r="E20" s="354">
        <f>2542716+58500</f>
        <v>2601216</v>
      </c>
      <c r="F20" s="454">
        <v>2605422</v>
      </c>
      <c r="G20" s="254"/>
    </row>
    <row r="21" spans="1:7" s="3" customFormat="1" ht="15.6" x14ac:dyDescent="0.25">
      <c r="A21" s="407" t="s">
        <v>230</v>
      </c>
      <c r="B21" s="408" t="s">
        <v>534</v>
      </c>
      <c r="C21" s="278">
        <v>0</v>
      </c>
      <c r="D21" s="354">
        <v>1850112</v>
      </c>
      <c r="E21" s="354">
        <v>1850112</v>
      </c>
      <c r="F21" s="454">
        <v>1779030</v>
      </c>
      <c r="G21" s="254"/>
    </row>
    <row r="22" spans="1:7" ht="15.6" x14ac:dyDescent="0.25">
      <c r="A22" s="292" t="s">
        <v>230</v>
      </c>
      <c r="B22" s="231" t="s">
        <v>493</v>
      </c>
      <c r="C22" s="278">
        <v>4100000</v>
      </c>
      <c r="D22" s="354">
        <f>439653+486758+574950+980572</f>
        <v>2481933</v>
      </c>
      <c r="E22" s="354">
        <f>439653+486758+574950+980572</f>
        <v>2481933</v>
      </c>
      <c r="F22" s="454">
        <f>F6*0.155</f>
        <v>4731956.25</v>
      </c>
      <c r="G22" s="254"/>
    </row>
    <row r="23" spans="1:7" ht="15.6" x14ac:dyDescent="0.25">
      <c r="A23" s="453" t="s">
        <v>230</v>
      </c>
      <c r="B23" s="457" t="s">
        <v>570</v>
      </c>
      <c r="C23" s="278">
        <v>0</v>
      </c>
      <c r="D23" s="354">
        <v>0</v>
      </c>
      <c r="E23" s="354">
        <v>262024</v>
      </c>
      <c r="F23" s="454">
        <f>F7*0.155-4</f>
        <v>262023.5</v>
      </c>
      <c r="G23" s="254"/>
    </row>
    <row r="24" spans="1:7" ht="15.6" x14ac:dyDescent="0.25">
      <c r="A24" s="687" t="s">
        <v>230</v>
      </c>
      <c r="B24" s="688" t="s">
        <v>630</v>
      </c>
      <c r="C24" s="278">
        <v>0</v>
      </c>
      <c r="D24" s="354">
        <v>0</v>
      </c>
      <c r="E24" s="354">
        <v>0</v>
      </c>
      <c r="F24" s="454">
        <v>61242</v>
      </c>
      <c r="G24" s="254"/>
    </row>
    <row r="25" spans="1:7" s="3" customFormat="1" ht="15.6" x14ac:dyDescent="0.25">
      <c r="A25" s="292" t="s">
        <v>231</v>
      </c>
      <c r="B25" s="231" t="s">
        <v>232</v>
      </c>
      <c r="C25" s="278">
        <v>0</v>
      </c>
      <c r="D25" s="354">
        <v>0</v>
      </c>
      <c r="E25" s="354">
        <v>0</v>
      </c>
      <c r="F25" s="454">
        <v>0</v>
      </c>
      <c r="G25" s="254"/>
    </row>
    <row r="26" spans="1:7" s="1" customFormat="1" ht="15.6" x14ac:dyDescent="0.25">
      <c r="A26" s="287" t="s">
        <v>228</v>
      </c>
      <c r="B26" s="232" t="s">
        <v>229</v>
      </c>
      <c r="C26" s="359">
        <f>SUM(C20:C25)</f>
        <v>9785720</v>
      </c>
      <c r="D26" s="265">
        <f>SUM(D20:D25)</f>
        <v>6874761</v>
      </c>
      <c r="E26" s="265">
        <f>SUM(E20:E25)</f>
        <v>7195285</v>
      </c>
      <c r="F26" s="265">
        <f>SUM(F20:F25)</f>
        <v>9439673.75</v>
      </c>
      <c r="G26" s="257"/>
    </row>
    <row r="27" spans="1:7" s="3" customFormat="1" ht="15.6" x14ac:dyDescent="0.3">
      <c r="C27" s="2"/>
      <c r="D27" s="6"/>
      <c r="E27" s="266"/>
      <c r="F27" s="6"/>
      <c r="G27" s="6"/>
    </row>
    <row r="28" spans="1:7" s="1" customFormat="1" ht="31.8" thickBot="1" x14ac:dyDescent="0.3">
      <c r="A28" s="630" t="s">
        <v>482</v>
      </c>
      <c r="B28" s="631"/>
      <c r="C28" s="376" t="s">
        <v>483</v>
      </c>
      <c r="D28" s="285" t="s">
        <v>464</v>
      </c>
      <c r="E28" s="285" t="s">
        <v>443</v>
      </c>
      <c r="F28" s="285" t="s">
        <v>444</v>
      </c>
      <c r="G28" s="285" t="s">
        <v>445</v>
      </c>
    </row>
    <row r="29" spans="1:7" s="1" customFormat="1" ht="15.6" x14ac:dyDescent="0.25">
      <c r="A29" s="292" t="s">
        <v>207</v>
      </c>
      <c r="B29" s="231" t="s">
        <v>208</v>
      </c>
      <c r="C29" s="278">
        <v>40802400</v>
      </c>
      <c r="D29" s="354">
        <v>40802400</v>
      </c>
      <c r="E29" s="354">
        <v>40802400</v>
      </c>
      <c r="F29" s="278">
        <f>41900600+4804800+430345+30345</f>
        <v>47166090</v>
      </c>
      <c r="G29" s="254"/>
    </row>
    <row r="30" spans="1:7" s="1" customFormat="1" ht="15.6" x14ac:dyDescent="0.25">
      <c r="A30" s="687" t="s">
        <v>625</v>
      </c>
      <c r="B30" s="688" t="s">
        <v>626</v>
      </c>
      <c r="C30" s="278">
        <v>0</v>
      </c>
      <c r="D30" s="354">
        <v>0</v>
      </c>
      <c r="E30" s="354">
        <v>0</v>
      </c>
      <c r="F30" s="278">
        <f>1203008+150376</f>
        <v>1353384</v>
      </c>
      <c r="G30" s="254"/>
    </row>
    <row r="31" spans="1:7" s="1" customFormat="1" ht="15.6" x14ac:dyDescent="0.25">
      <c r="A31" s="292" t="s">
        <v>209</v>
      </c>
      <c r="B31" s="231" t="s">
        <v>41</v>
      </c>
      <c r="C31" s="278">
        <v>1410000</v>
      </c>
      <c r="D31" s="354">
        <v>850000</v>
      </c>
      <c r="E31" s="278">
        <v>1200000</v>
      </c>
      <c r="F31" s="278">
        <v>1200000</v>
      </c>
      <c r="G31" s="254"/>
    </row>
    <row r="32" spans="1:7" s="3" customFormat="1" ht="15.6" x14ac:dyDescent="0.25">
      <c r="A32" s="292" t="s">
        <v>210</v>
      </c>
      <c r="B32" s="231" t="s">
        <v>211</v>
      </c>
      <c r="C32" s="278">
        <v>2000000</v>
      </c>
      <c r="D32" s="354">
        <v>1360000</v>
      </c>
      <c r="E32" s="278">
        <v>1600000</v>
      </c>
      <c r="F32" s="278">
        <v>1600000</v>
      </c>
      <c r="G32" s="254"/>
    </row>
    <row r="33" spans="1:7" s="1" customFormat="1" ht="15.6" x14ac:dyDescent="0.25">
      <c r="A33" s="292" t="s">
        <v>212</v>
      </c>
      <c r="B33" s="231" t="s">
        <v>213</v>
      </c>
      <c r="C33" s="278">
        <v>0</v>
      </c>
      <c r="D33" s="354">
        <v>0</v>
      </c>
      <c r="E33" s="278">
        <v>0</v>
      </c>
      <c r="F33" s="278">
        <v>0</v>
      </c>
      <c r="G33" s="254"/>
    </row>
    <row r="34" spans="1:7" s="1" customFormat="1" ht="15.6" x14ac:dyDescent="0.25">
      <c r="A34" s="292" t="s">
        <v>214</v>
      </c>
      <c r="B34" s="231" t="s">
        <v>215</v>
      </c>
      <c r="C34" s="278">
        <v>300000</v>
      </c>
      <c r="D34" s="354">
        <v>300000</v>
      </c>
      <c r="E34" s="278">
        <v>300000</v>
      </c>
      <c r="F34" s="278">
        <v>300000</v>
      </c>
      <c r="G34" s="254"/>
    </row>
    <row r="35" spans="1:7" s="3" customFormat="1" ht="15.6" x14ac:dyDescent="0.25">
      <c r="A35" s="292" t="s">
        <v>216</v>
      </c>
      <c r="B35" s="231" t="s">
        <v>217</v>
      </c>
      <c r="C35" s="278">
        <v>120000</v>
      </c>
      <c r="D35" s="354">
        <v>120000</v>
      </c>
      <c r="E35" s="278">
        <v>100000</v>
      </c>
      <c r="F35" s="278">
        <v>100000</v>
      </c>
      <c r="G35" s="254"/>
    </row>
    <row r="36" spans="1:7" s="3" customFormat="1" ht="15.6" x14ac:dyDescent="0.25">
      <c r="A36" s="292" t="s">
        <v>218</v>
      </c>
      <c r="B36" s="231" t="s">
        <v>219</v>
      </c>
      <c r="C36" s="278">
        <v>100000</v>
      </c>
      <c r="D36" s="354">
        <v>400000</v>
      </c>
      <c r="E36" s="278">
        <v>300000</v>
      </c>
      <c r="F36" s="278">
        <v>300000</v>
      </c>
      <c r="G36" s="254"/>
    </row>
    <row r="37" spans="1:7" s="1" customFormat="1" ht="14.4" customHeight="1" x14ac:dyDescent="0.25">
      <c r="A37" s="283" t="s">
        <v>401</v>
      </c>
      <c r="B37" s="236" t="s">
        <v>220</v>
      </c>
      <c r="C37" s="357">
        <f>SUM(C29:C36)</f>
        <v>44732400</v>
      </c>
      <c r="D37" s="356">
        <f>SUM(D29:D36)</f>
        <v>43832400</v>
      </c>
      <c r="E37" s="356">
        <f>SUM(E29:E36)</f>
        <v>44302400</v>
      </c>
      <c r="F37" s="356">
        <f>SUM(F29:F36)</f>
        <v>52019474</v>
      </c>
      <c r="G37" s="252"/>
    </row>
    <row r="38" spans="1:7" s="1" customFormat="1" ht="15.6" x14ac:dyDescent="0.25">
      <c r="A38" s="375" t="s">
        <v>224</v>
      </c>
      <c r="B38" s="231" t="s">
        <v>225</v>
      </c>
      <c r="C38" s="278">
        <v>150000</v>
      </c>
      <c r="D38" s="354">
        <v>50000</v>
      </c>
      <c r="E38" s="278">
        <v>50000</v>
      </c>
      <c r="F38" s="278">
        <v>50000</v>
      </c>
      <c r="G38" s="254"/>
    </row>
    <row r="39" spans="1:7" s="3" customFormat="1" ht="15.6" x14ac:dyDescent="0.25">
      <c r="A39" s="283" t="s">
        <v>402</v>
      </c>
      <c r="B39" s="236" t="s">
        <v>226</v>
      </c>
      <c r="C39" s="357">
        <f>SUM(C38:C38)</f>
        <v>150000</v>
      </c>
      <c r="D39" s="356">
        <f>SUM(D38:D38)</f>
        <v>50000</v>
      </c>
      <c r="E39" s="356">
        <f>SUM(E38:E38)</f>
        <v>50000</v>
      </c>
      <c r="F39" s="356">
        <f>SUM(F38:F38)</f>
        <v>50000</v>
      </c>
      <c r="G39" s="252"/>
    </row>
    <row r="40" spans="1:7" s="1" customFormat="1" ht="15.6" x14ac:dyDescent="0.25">
      <c r="A40" s="287" t="s">
        <v>227</v>
      </c>
      <c r="B40" s="232" t="s">
        <v>42</v>
      </c>
      <c r="C40" s="359">
        <f>(C37+C39)</f>
        <v>44882400</v>
      </c>
      <c r="D40" s="358">
        <f>(D37+D39)</f>
        <v>43882400</v>
      </c>
      <c r="E40" s="358">
        <f>(E37+E39)</f>
        <v>44352400</v>
      </c>
      <c r="F40" s="358">
        <f>(F37+F39)</f>
        <v>52069474</v>
      </c>
      <c r="G40" s="257"/>
    </row>
    <row r="41" spans="1:7" s="3" customFormat="1" ht="15.6" x14ac:dyDescent="0.25">
      <c r="A41" s="292" t="s">
        <v>230</v>
      </c>
      <c r="B41" s="231" t="s">
        <v>45</v>
      </c>
      <c r="C41" s="278">
        <v>7140432</v>
      </c>
      <c r="D41" s="354">
        <v>7000000</v>
      </c>
      <c r="E41" s="278">
        <v>6700000</v>
      </c>
      <c r="F41" s="278">
        <f>8500000</f>
        <v>8500000</v>
      </c>
      <c r="G41" s="254"/>
    </row>
    <row r="42" spans="1:7" s="3" customFormat="1" ht="15.6" x14ac:dyDescent="0.25">
      <c r="A42" s="687" t="s">
        <v>230</v>
      </c>
      <c r="B42" s="688" t="s">
        <v>627</v>
      </c>
      <c r="C42" s="278">
        <v>0</v>
      </c>
      <c r="D42" s="354">
        <v>0</v>
      </c>
      <c r="E42" s="278">
        <v>0</v>
      </c>
      <c r="F42" s="278">
        <f>186464+23308</f>
        <v>209772</v>
      </c>
      <c r="G42" s="254"/>
    </row>
    <row r="43" spans="1:7" s="3" customFormat="1" ht="15.6" x14ac:dyDescent="0.25">
      <c r="A43" s="292" t="s">
        <v>231</v>
      </c>
      <c r="B43" s="231" t="s">
        <v>232</v>
      </c>
      <c r="C43" s="278">
        <v>0</v>
      </c>
      <c r="D43" s="354">
        <v>0</v>
      </c>
      <c r="E43" s="278">
        <v>300000</v>
      </c>
      <c r="F43" s="278">
        <v>300000</v>
      </c>
      <c r="G43" s="254"/>
    </row>
    <row r="44" spans="1:7" s="3" customFormat="1" ht="15.6" x14ac:dyDescent="0.25">
      <c r="A44" s="287" t="s">
        <v>228</v>
      </c>
      <c r="B44" s="232" t="s">
        <v>229</v>
      </c>
      <c r="C44" s="359">
        <f>SUM(C41:C43)</f>
        <v>7140432</v>
      </c>
      <c r="D44" s="265">
        <f>SUM(D41:D43)</f>
        <v>7000000</v>
      </c>
      <c r="E44" s="265">
        <f>SUM(E41:E43)</f>
        <v>7000000</v>
      </c>
      <c r="F44" s="265">
        <f>SUM(F41:F43)</f>
        <v>9009772</v>
      </c>
      <c r="G44" s="257"/>
    </row>
    <row r="45" spans="1:7" s="3" customFormat="1" ht="15" x14ac:dyDescent="0.25">
      <c r="C45" s="6"/>
      <c r="D45" s="6"/>
      <c r="E45" s="6"/>
      <c r="F45" s="6"/>
      <c r="G45" s="6"/>
    </row>
    <row r="46" spans="1:7" s="3" customFormat="1" ht="31.8" thickBot="1" x14ac:dyDescent="0.3">
      <c r="A46" s="632" t="s">
        <v>398</v>
      </c>
      <c r="B46" s="633"/>
      <c r="C46" s="376" t="s">
        <v>483</v>
      </c>
      <c r="D46" s="285" t="s">
        <v>464</v>
      </c>
      <c r="E46" s="285" t="s">
        <v>443</v>
      </c>
      <c r="F46" s="285" t="s">
        <v>444</v>
      </c>
      <c r="G46" s="285" t="s">
        <v>445</v>
      </c>
    </row>
    <row r="47" spans="1:7" s="1" customFormat="1" ht="15.6" x14ac:dyDescent="0.25">
      <c r="A47" s="292" t="s">
        <v>207</v>
      </c>
      <c r="B47" s="231" t="s">
        <v>208</v>
      </c>
      <c r="C47" s="278">
        <v>23432268</v>
      </c>
      <c r="D47" s="354">
        <v>23432268</v>
      </c>
      <c r="E47" s="354">
        <f>23432268+721260-499</f>
        <v>24153029</v>
      </c>
      <c r="F47" s="278">
        <v>25514368</v>
      </c>
      <c r="G47" s="254"/>
    </row>
    <row r="48" spans="1:7" s="1" customFormat="1" ht="15.6" x14ac:dyDescent="0.25">
      <c r="A48" s="687" t="s">
        <v>625</v>
      </c>
      <c r="B48" s="688" t="s">
        <v>626</v>
      </c>
      <c r="C48" s="278">
        <v>0</v>
      </c>
      <c r="D48" s="354">
        <v>0</v>
      </c>
      <c r="E48" s="354">
        <v>0</v>
      </c>
      <c r="F48" s="354">
        <v>535715</v>
      </c>
      <c r="G48" s="254"/>
    </row>
    <row r="49" spans="1:9" s="1" customFormat="1" ht="15.6" x14ac:dyDescent="0.25">
      <c r="A49" s="292" t="s">
        <v>210</v>
      </c>
      <c r="B49" s="231" t="s">
        <v>211</v>
      </c>
      <c r="C49" s="278">
        <v>50000</v>
      </c>
      <c r="D49" s="354">
        <v>0</v>
      </c>
      <c r="E49" s="354">
        <v>0</v>
      </c>
      <c r="F49" s="354">
        <v>0</v>
      </c>
      <c r="G49" s="254"/>
    </row>
    <row r="50" spans="1:9" s="3" customFormat="1" ht="15.6" x14ac:dyDescent="0.25">
      <c r="A50" s="292" t="s">
        <v>212</v>
      </c>
      <c r="B50" s="231" t="s">
        <v>213</v>
      </c>
      <c r="C50" s="278">
        <v>0</v>
      </c>
      <c r="D50" s="354">
        <v>0</v>
      </c>
      <c r="E50" s="354">
        <v>0</v>
      </c>
      <c r="F50" s="354">
        <v>0</v>
      </c>
      <c r="G50" s="254"/>
    </row>
    <row r="51" spans="1:9" ht="15.6" x14ac:dyDescent="0.25">
      <c r="A51" s="292" t="s">
        <v>214</v>
      </c>
      <c r="B51" s="231" t="s">
        <v>215</v>
      </c>
      <c r="C51" s="278">
        <v>0</v>
      </c>
      <c r="D51" s="354">
        <v>0</v>
      </c>
      <c r="E51" s="354">
        <v>0</v>
      </c>
      <c r="F51" s="354">
        <v>0</v>
      </c>
      <c r="G51" s="254"/>
    </row>
    <row r="52" spans="1:9" s="192" customFormat="1" ht="15.6" x14ac:dyDescent="0.25">
      <c r="A52" s="292" t="s">
        <v>216</v>
      </c>
      <c r="B52" s="231" t="s">
        <v>217</v>
      </c>
      <c r="C52" s="278">
        <v>0</v>
      </c>
      <c r="D52" s="354">
        <v>0</v>
      </c>
      <c r="E52" s="354">
        <v>0</v>
      </c>
      <c r="F52" s="354">
        <v>0</v>
      </c>
      <c r="G52" s="254"/>
    </row>
    <row r="53" spans="1:9" s="1" customFormat="1" ht="15.6" x14ac:dyDescent="0.25">
      <c r="A53" s="292" t="s">
        <v>218</v>
      </c>
      <c r="B53" s="231" t="s">
        <v>219</v>
      </c>
      <c r="C53" s="278">
        <v>300000</v>
      </c>
      <c r="D53" s="354">
        <v>350000</v>
      </c>
      <c r="E53" s="354">
        <v>800000</v>
      </c>
      <c r="F53" s="354">
        <v>800000</v>
      </c>
      <c r="G53" s="254"/>
    </row>
    <row r="54" spans="1:9" s="1" customFormat="1" ht="15.6" x14ac:dyDescent="0.25">
      <c r="A54" s="283" t="s">
        <v>401</v>
      </c>
      <c r="B54" s="236" t="s">
        <v>220</v>
      </c>
      <c r="C54" s="357">
        <f>SUM(C47:C53)</f>
        <v>23782268</v>
      </c>
      <c r="D54" s="356">
        <f>SUM(D47:D53)</f>
        <v>23782268</v>
      </c>
      <c r="E54" s="356">
        <f>SUM(E47:E53)</f>
        <v>24953029</v>
      </c>
      <c r="F54" s="356">
        <f>SUM(F47:F53)</f>
        <v>26850083</v>
      </c>
      <c r="G54" s="252"/>
    </row>
    <row r="55" spans="1:9" s="1" customFormat="1" ht="15.6" x14ac:dyDescent="0.25">
      <c r="A55" s="292" t="s">
        <v>223</v>
      </c>
      <c r="B55" s="231" t="s">
        <v>343</v>
      </c>
      <c r="C55" s="278">
        <v>50000</v>
      </c>
      <c r="D55" s="354">
        <v>30000</v>
      </c>
      <c r="E55" s="354">
        <v>30000</v>
      </c>
      <c r="F55" s="354">
        <v>30000</v>
      </c>
      <c r="G55" s="254"/>
    </row>
    <row r="56" spans="1:9" s="1" customFormat="1" ht="15.6" x14ac:dyDescent="0.25">
      <c r="A56" s="292" t="s">
        <v>224</v>
      </c>
      <c r="B56" s="231" t="s">
        <v>225</v>
      </c>
      <c r="C56" s="278">
        <v>0</v>
      </c>
      <c r="D56" s="354">
        <v>0</v>
      </c>
      <c r="E56" s="354">
        <v>0</v>
      </c>
      <c r="F56" s="354">
        <v>0</v>
      </c>
      <c r="G56" s="254"/>
    </row>
    <row r="57" spans="1:9" s="3" customFormat="1" ht="15.6" x14ac:dyDescent="0.25">
      <c r="A57" s="283" t="s">
        <v>402</v>
      </c>
      <c r="B57" s="236" t="s">
        <v>226</v>
      </c>
      <c r="C57" s="357">
        <f>SUM(C55:C56)</f>
        <v>50000</v>
      </c>
      <c r="D57" s="356">
        <f>SUM(D55:D56)</f>
        <v>30000</v>
      </c>
      <c r="E57" s="356">
        <f>SUM(E55:E56)</f>
        <v>30000</v>
      </c>
      <c r="F57" s="356">
        <f>SUM(F55:F56)</f>
        <v>30000</v>
      </c>
      <c r="G57" s="252"/>
    </row>
    <row r="58" spans="1:9" s="3" customFormat="1" ht="15.6" x14ac:dyDescent="0.25">
      <c r="A58" s="287" t="s">
        <v>227</v>
      </c>
      <c r="B58" s="232" t="s">
        <v>42</v>
      </c>
      <c r="C58" s="359">
        <f>(C54+C57)</f>
        <v>23832268</v>
      </c>
      <c r="D58" s="358">
        <f>(D54+D57)</f>
        <v>23812268</v>
      </c>
      <c r="E58" s="358">
        <f>(E54+E57)</f>
        <v>24983029</v>
      </c>
      <c r="F58" s="358">
        <f>(F54+F57)</f>
        <v>26880083</v>
      </c>
      <c r="G58" s="257"/>
    </row>
    <row r="59" spans="1:9" s="1" customFormat="1" ht="15.6" x14ac:dyDescent="0.25">
      <c r="A59" s="292" t="s">
        <v>230</v>
      </c>
      <c r="B59" s="231" t="s">
        <v>45</v>
      </c>
      <c r="C59" s="278">
        <v>4100664</v>
      </c>
      <c r="D59" s="354">
        <v>3900000</v>
      </c>
      <c r="E59" s="354">
        <f>3900000+112000</f>
        <v>4012000</v>
      </c>
      <c r="F59" s="278">
        <v>4500000</v>
      </c>
      <c r="G59" s="254"/>
    </row>
    <row r="60" spans="1:9" ht="15.6" x14ac:dyDescent="0.25">
      <c r="A60" s="687" t="s">
        <v>230</v>
      </c>
      <c r="B60" s="688" t="s">
        <v>627</v>
      </c>
      <c r="C60" s="278">
        <v>0</v>
      </c>
      <c r="D60" s="354">
        <v>0</v>
      </c>
      <c r="E60" s="354">
        <v>0</v>
      </c>
      <c r="F60" s="278">
        <v>83035</v>
      </c>
      <c r="G60" s="254"/>
    </row>
    <row r="61" spans="1:9" s="1" customFormat="1" ht="15.6" x14ac:dyDescent="0.25">
      <c r="A61" s="292" t="s">
        <v>231</v>
      </c>
      <c r="B61" s="231" t="s">
        <v>232</v>
      </c>
      <c r="C61" s="278">
        <v>0</v>
      </c>
      <c r="D61" s="354">
        <v>0</v>
      </c>
      <c r="E61" s="354">
        <v>0</v>
      </c>
      <c r="F61" s="278">
        <v>0</v>
      </c>
      <c r="G61" s="254"/>
    </row>
    <row r="62" spans="1:9" s="1" customFormat="1" ht="15.6" x14ac:dyDescent="0.25">
      <c r="A62" s="287" t="s">
        <v>228</v>
      </c>
      <c r="B62" s="232" t="s">
        <v>229</v>
      </c>
      <c r="C62" s="359">
        <f>SUM(C59:C61)</f>
        <v>4100664</v>
      </c>
      <c r="D62" s="265">
        <f>SUM(D59:D61)</f>
        <v>3900000</v>
      </c>
      <c r="E62" s="265">
        <f>SUM(E59:E61)</f>
        <v>4012000</v>
      </c>
      <c r="F62" s="265">
        <f>SUM(F59:F61)</f>
        <v>4583035</v>
      </c>
      <c r="G62" s="257"/>
    </row>
    <row r="63" spans="1:9" s="3" customFormat="1" ht="15" x14ac:dyDescent="0.25">
      <c r="C63" s="6"/>
      <c r="D63" s="6"/>
      <c r="E63" s="6"/>
      <c r="F63" s="6"/>
      <c r="G63" s="6"/>
    </row>
    <row r="64" spans="1:9" s="3" customFormat="1" ht="31.8" thickBot="1" x14ac:dyDescent="0.3">
      <c r="A64" s="623" t="s">
        <v>394</v>
      </c>
      <c r="B64" s="624"/>
      <c r="C64" s="376" t="s">
        <v>483</v>
      </c>
      <c r="D64" s="285" t="s">
        <v>464</v>
      </c>
      <c r="E64" s="285" t="s">
        <v>443</v>
      </c>
      <c r="F64" s="285" t="s">
        <v>444</v>
      </c>
      <c r="G64" s="285" t="s">
        <v>445</v>
      </c>
      <c r="I64" s="689"/>
    </row>
    <row r="65" spans="1:7" s="1" customFormat="1" ht="15.6" x14ac:dyDescent="0.25">
      <c r="A65" s="292" t="s">
        <v>207</v>
      </c>
      <c r="B65" s="231" t="s">
        <v>208</v>
      </c>
      <c r="C65" s="278">
        <v>48207960</v>
      </c>
      <c r="D65" s="354">
        <f>48207960+664</f>
        <v>48208624</v>
      </c>
      <c r="E65" s="354">
        <f>49844174+44000</f>
        <v>49888174</v>
      </c>
      <c r="F65" s="278">
        <f>49882842</f>
        <v>49882842</v>
      </c>
      <c r="G65" s="254"/>
    </row>
    <row r="66" spans="1:7" s="1" customFormat="1" ht="15.6" x14ac:dyDescent="0.25">
      <c r="A66" s="687" t="s">
        <v>625</v>
      </c>
      <c r="B66" s="688" t="s">
        <v>626</v>
      </c>
      <c r="C66" s="278">
        <v>0</v>
      </c>
      <c r="D66" s="354">
        <v>0</v>
      </c>
      <c r="E66" s="354">
        <v>0</v>
      </c>
      <c r="F66" s="354">
        <f>902256+12782+394738</f>
        <v>1309776</v>
      </c>
      <c r="G66" s="254"/>
    </row>
    <row r="67" spans="1:7" ht="15.6" x14ac:dyDescent="0.25">
      <c r="A67" s="292" t="s">
        <v>210</v>
      </c>
      <c r="B67" s="231" t="s">
        <v>211</v>
      </c>
      <c r="C67" s="278">
        <v>0</v>
      </c>
      <c r="D67" s="354">
        <v>0</v>
      </c>
      <c r="E67" s="354">
        <v>0</v>
      </c>
      <c r="F67" s="354">
        <v>0</v>
      </c>
      <c r="G67" s="254"/>
    </row>
    <row r="68" spans="1:7" ht="15.6" x14ac:dyDescent="0.25">
      <c r="A68" s="292" t="s">
        <v>212</v>
      </c>
      <c r="B68" s="231" t="s">
        <v>213</v>
      </c>
      <c r="C68" s="278">
        <v>0</v>
      </c>
      <c r="D68" s="354">
        <v>0</v>
      </c>
      <c r="E68" s="354">
        <v>0</v>
      </c>
      <c r="F68" s="354">
        <v>0</v>
      </c>
      <c r="G68" s="254"/>
    </row>
    <row r="69" spans="1:7" ht="15.6" x14ac:dyDescent="0.25">
      <c r="A69" s="292" t="s">
        <v>214</v>
      </c>
      <c r="B69" s="231" t="s">
        <v>215</v>
      </c>
      <c r="C69" s="278">
        <v>200000</v>
      </c>
      <c r="D69" s="354">
        <v>200000</v>
      </c>
      <c r="E69" s="354">
        <v>200000</v>
      </c>
      <c r="F69" s="354">
        <v>200000</v>
      </c>
      <c r="G69" s="254"/>
    </row>
    <row r="70" spans="1:7" ht="15.6" x14ac:dyDescent="0.25">
      <c r="A70" s="292" t="s">
        <v>216</v>
      </c>
      <c r="B70" s="231" t="s">
        <v>217</v>
      </c>
      <c r="C70" s="278">
        <v>0</v>
      </c>
      <c r="D70" s="354">
        <v>0</v>
      </c>
      <c r="E70" s="354">
        <v>0</v>
      </c>
      <c r="F70" s="354">
        <v>0</v>
      </c>
      <c r="G70" s="254"/>
    </row>
    <row r="71" spans="1:7" s="1" customFormat="1" ht="15.6" x14ac:dyDescent="0.25">
      <c r="A71" s="292" t="s">
        <v>218</v>
      </c>
      <c r="B71" s="231" t="s">
        <v>219</v>
      </c>
      <c r="C71" s="278">
        <v>800000</v>
      </c>
      <c r="D71" s="354">
        <v>800000</v>
      </c>
      <c r="E71" s="354">
        <v>800000</v>
      </c>
      <c r="F71" s="354">
        <v>800000</v>
      </c>
      <c r="G71" s="254"/>
    </row>
    <row r="72" spans="1:7" ht="15.6" x14ac:dyDescent="0.25">
      <c r="A72" s="283" t="s">
        <v>401</v>
      </c>
      <c r="B72" s="236" t="s">
        <v>220</v>
      </c>
      <c r="C72" s="357">
        <f>SUM(C65:C71)</f>
        <v>49207960</v>
      </c>
      <c r="D72" s="356">
        <f>SUM(D65:D71)</f>
        <v>49208624</v>
      </c>
      <c r="E72" s="356">
        <f>SUM(E65:E71)</f>
        <v>50888174</v>
      </c>
      <c r="F72" s="356">
        <f>SUM(F65:F71)</f>
        <v>52192618</v>
      </c>
      <c r="G72" s="252"/>
    </row>
    <row r="73" spans="1:7" ht="15.6" x14ac:dyDescent="0.25">
      <c r="A73" s="292" t="s">
        <v>223</v>
      </c>
      <c r="B73" s="231" t="s">
        <v>343</v>
      </c>
      <c r="C73" s="278">
        <v>400000</v>
      </c>
      <c r="D73" s="354">
        <v>400000</v>
      </c>
      <c r="E73" s="354">
        <v>400000</v>
      </c>
      <c r="F73" s="354">
        <v>400000</v>
      </c>
      <c r="G73" s="254"/>
    </row>
    <row r="74" spans="1:7" s="1" customFormat="1" ht="15.6" x14ac:dyDescent="0.25">
      <c r="A74" s="292" t="s">
        <v>224</v>
      </c>
      <c r="B74" s="231" t="s">
        <v>225</v>
      </c>
      <c r="C74" s="278">
        <v>0</v>
      </c>
      <c r="D74" s="354">
        <v>0</v>
      </c>
      <c r="E74" s="354">
        <v>6000</v>
      </c>
      <c r="F74" s="354">
        <v>6000</v>
      </c>
      <c r="G74" s="254"/>
    </row>
    <row r="75" spans="1:7" ht="15.6" x14ac:dyDescent="0.25">
      <c r="A75" s="283" t="s">
        <v>402</v>
      </c>
      <c r="B75" s="236" t="s">
        <v>226</v>
      </c>
      <c r="C75" s="357">
        <f>SUM(C73:C74)</f>
        <v>400000</v>
      </c>
      <c r="D75" s="356">
        <f>SUM(D73:D74)</f>
        <v>400000</v>
      </c>
      <c r="E75" s="356">
        <f>SUM(E73:E74)</f>
        <v>406000</v>
      </c>
      <c r="F75" s="356">
        <f>SUM(F73:F74)</f>
        <v>406000</v>
      </c>
      <c r="G75" s="252"/>
    </row>
    <row r="76" spans="1:7" ht="15.6" x14ac:dyDescent="0.25">
      <c r="A76" s="287" t="s">
        <v>227</v>
      </c>
      <c r="B76" s="232" t="s">
        <v>42</v>
      </c>
      <c r="C76" s="359">
        <f>(C72+C75)</f>
        <v>49607960</v>
      </c>
      <c r="D76" s="358">
        <f>(D72+D75)</f>
        <v>49608624</v>
      </c>
      <c r="E76" s="358">
        <f>(E72+E75)</f>
        <v>51294174</v>
      </c>
      <c r="F76" s="358">
        <f>(F72+F75)</f>
        <v>52598618</v>
      </c>
      <c r="G76" s="257"/>
    </row>
    <row r="77" spans="1:7" ht="15.6" x14ac:dyDescent="0.25">
      <c r="A77" s="292" t="s">
        <v>230</v>
      </c>
      <c r="B77" s="231" t="s">
        <v>45</v>
      </c>
      <c r="C77" s="278">
        <v>8500000</v>
      </c>
      <c r="D77" s="354">
        <v>8100000</v>
      </c>
      <c r="E77" s="354">
        <v>8250000</v>
      </c>
      <c r="F77" s="278">
        <v>8500000</v>
      </c>
      <c r="G77" s="254"/>
    </row>
    <row r="78" spans="1:7" ht="15.6" x14ac:dyDescent="0.25">
      <c r="A78" s="687" t="s">
        <v>230</v>
      </c>
      <c r="B78" s="688" t="s">
        <v>627</v>
      </c>
      <c r="C78" s="278">
        <v>0</v>
      </c>
      <c r="D78" s="354">
        <v>0</v>
      </c>
      <c r="E78" s="354">
        <v>0</v>
      </c>
      <c r="F78" s="278">
        <f>139850+1981+61184</f>
        <v>203015</v>
      </c>
      <c r="G78" s="254"/>
    </row>
    <row r="79" spans="1:7" ht="15.6" x14ac:dyDescent="0.25">
      <c r="A79" s="292" t="s">
        <v>231</v>
      </c>
      <c r="B79" s="231" t="s">
        <v>232</v>
      </c>
      <c r="C79" s="278">
        <v>0</v>
      </c>
      <c r="D79" s="354">
        <v>0</v>
      </c>
      <c r="E79" s="354">
        <v>0</v>
      </c>
      <c r="F79" s="278">
        <v>0</v>
      </c>
      <c r="G79" s="254"/>
    </row>
    <row r="80" spans="1:7" ht="15.6" x14ac:dyDescent="0.25">
      <c r="A80" s="287" t="s">
        <v>228</v>
      </c>
      <c r="B80" s="232" t="s">
        <v>229</v>
      </c>
      <c r="C80" s="359">
        <f>SUM(C77:C79)</f>
        <v>8500000</v>
      </c>
      <c r="D80" s="265">
        <f>SUM(D77:D79)</f>
        <v>8100000</v>
      </c>
      <c r="E80" s="265">
        <f>SUM(E77:E79)</f>
        <v>8250000</v>
      </c>
      <c r="F80" s="265">
        <f>SUM(F77:F79)</f>
        <v>8703015</v>
      </c>
      <c r="G80" s="257"/>
    </row>
    <row r="81" spans="1:7" s="2" customFormat="1" ht="15.6" x14ac:dyDescent="0.3">
      <c r="A81" s="3"/>
      <c r="B81" s="3"/>
      <c r="C81" s="6"/>
      <c r="D81" s="6"/>
      <c r="E81" s="6"/>
      <c r="F81" s="6"/>
      <c r="G81" s="6"/>
    </row>
    <row r="82" spans="1:7" ht="15.6" x14ac:dyDescent="0.25">
      <c r="A82" s="287" t="s">
        <v>227</v>
      </c>
      <c r="B82" s="169" t="s">
        <v>42</v>
      </c>
      <c r="C82" s="257">
        <f>C19+C40+C58+C76</f>
        <v>177692961</v>
      </c>
      <c r="D82" s="257">
        <f>D19+D40+D58+D76</f>
        <v>177198530</v>
      </c>
      <c r="E82" s="257">
        <f>E19+E40+E58+E76</f>
        <v>183290341</v>
      </c>
      <c r="F82" s="257">
        <f>F19+F40+F58+F76</f>
        <v>194414627</v>
      </c>
      <c r="G82" s="257"/>
    </row>
    <row r="83" spans="1:7" s="3" customFormat="1" ht="15" x14ac:dyDescent="0.25">
      <c r="C83" s="6"/>
      <c r="D83" s="6"/>
      <c r="E83" s="6"/>
      <c r="F83" s="6"/>
      <c r="G83" s="6"/>
    </row>
    <row r="84" spans="1:7" ht="15.6" x14ac:dyDescent="0.25">
      <c r="A84" s="287" t="s">
        <v>228</v>
      </c>
      <c r="B84" s="169" t="s">
        <v>229</v>
      </c>
      <c r="C84" s="257">
        <f>C26+C44+C62+C80</f>
        <v>29526816</v>
      </c>
      <c r="D84" s="257">
        <f>D26+D44+D62+D80</f>
        <v>25874761</v>
      </c>
      <c r="E84" s="257">
        <f>E26+E44+E62+E80</f>
        <v>26457285</v>
      </c>
      <c r="F84" s="257">
        <f>F26+F44+F62+F80</f>
        <v>31735495.75</v>
      </c>
      <c r="G84" s="257"/>
    </row>
    <row r="85" spans="1:7" s="235" customFormat="1" x14ac:dyDescent="0.25">
      <c r="A85" s="3"/>
      <c r="B85" s="3"/>
      <c r="C85" s="21"/>
      <c r="D85" s="21"/>
      <c r="E85" s="21"/>
      <c r="F85" s="21"/>
      <c r="G85" s="21"/>
    </row>
    <row r="86" spans="1:7" s="404" customFormat="1" ht="27.6" x14ac:dyDescent="0.25">
      <c r="B86" s="410" t="s">
        <v>504</v>
      </c>
      <c r="C86" s="484" t="s">
        <v>6</v>
      </c>
      <c r="D86" s="484" t="s">
        <v>393</v>
      </c>
      <c r="E86" s="484" t="s">
        <v>398</v>
      </c>
      <c r="F86" s="484" t="s">
        <v>503</v>
      </c>
      <c r="G86" s="484" t="s">
        <v>20</v>
      </c>
    </row>
    <row r="87" spans="1:7" s="3" customFormat="1" ht="14.4" x14ac:dyDescent="0.3">
      <c r="A87" s="1"/>
      <c r="B87" s="413" t="s">
        <v>79</v>
      </c>
      <c r="C87" s="414">
        <v>7</v>
      </c>
      <c r="D87" s="415">
        <v>12</v>
      </c>
      <c r="E87" s="416">
        <v>8</v>
      </c>
      <c r="F87" s="417">
        <v>18</v>
      </c>
      <c r="G87" s="418">
        <f>SUM(C87:F87)</f>
        <v>45</v>
      </c>
    </row>
    <row r="88" spans="1:7" s="1" customFormat="1" ht="14.4" x14ac:dyDescent="0.3">
      <c r="B88" s="413" t="s">
        <v>80</v>
      </c>
      <c r="C88" s="414">
        <v>33</v>
      </c>
      <c r="D88" s="415" t="s">
        <v>70</v>
      </c>
      <c r="E88" s="416" t="s">
        <v>70</v>
      </c>
      <c r="F88" s="417" t="s">
        <v>70</v>
      </c>
      <c r="G88" s="418">
        <f>SUM(C88:F88)</f>
        <v>33</v>
      </c>
    </row>
    <row r="89" spans="1:7" s="3" customFormat="1" ht="14.4" x14ac:dyDescent="0.3">
      <c r="A89" s="1"/>
      <c r="B89" s="413" t="s">
        <v>455</v>
      </c>
      <c r="C89" s="414">
        <v>14</v>
      </c>
      <c r="D89" s="415" t="s">
        <v>70</v>
      </c>
      <c r="E89" s="416" t="s">
        <v>70</v>
      </c>
      <c r="F89" s="417" t="s">
        <v>70</v>
      </c>
      <c r="G89" s="418">
        <f>SUM(C89:F89)</f>
        <v>14</v>
      </c>
    </row>
    <row r="90" spans="1:7" ht="14.4" x14ac:dyDescent="0.3">
      <c r="A90" s="1"/>
      <c r="B90" s="419" t="s">
        <v>1</v>
      </c>
      <c r="C90" s="420">
        <f>SUM(C87:C89)</f>
        <v>54</v>
      </c>
      <c r="D90" s="420">
        <f>SUM(D87:D89)</f>
        <v>12</v>
      </c>
      <c r="E90" s="420">
        <f>SUM(E87:E89)</f>
        <v>8</v>
      </c>
      <c r="F90" s="420">
        <f>SUM(F87:F89)</f>
        <v>18</v>
      </c>
      <c r="G90" s="421"/>
    </row>
  </sheetData>
  <mergeCells count="6">
    <mergeCell ref="A64:B64"/>
    <mergeCell ref="A1:G1"/>
    <mergeCell ref="A2:G2"/>
    <mergeCell ref="A4:B4"/>
    <mergeCell ref="A28:B28"/>
    <mergeCell ref="A46:B46"/>
  </mergeCells>
  <printOptions horizontalCentered="1" verticalCentered="1"/>
  <pageMargins left="0.23622047244094491" right="0.23622047244094491" top="0.59055118110236227" bottom="0.23622047244094491" header="0.31496062992125984" footer="0.31496062992125984"/>
  <pageSetup paperSize="9" scale="63" orientation="portrait" r:id="rId1"/>
  <headerFooter>
    <oddHeader>&amp;R3./a sz. melléklet
Ft-ban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Munka2">
    <pageSetUpPr fitToPage="1"/>
  </sheetPr>
  <dimension ref="A1:G97"/>
  <sheetViews>
    <sheetView topLeftCell="A67" zoomScale="70" zoomScaleNormal="70" workbookViewId="0">
      <selection activeCell="G21" sqref="G21"/>
    </sheetView>
  </sheetViews>
  <sheetFormatPr defaultColWidth="9.109375" defaultRowHeight="13.2" x14ac:dyDescent="0.25"/>
  <cols>
    <col min="1" max="1" width="5.5546875" style="21" bestFit="1" customWidth="1"/>
    <col min="2" max="2" width="47.88671875" style="21" customWidth="1"/>
    <col min="3" max="3" width="16.77734375" style="21" bestFit="1" customWidth="1"/>
    <col min="4" max="5" width="13.6640625" style="21" bestFit="1" customWidth="1"/>
    <col min="6" max="6" width="18" style="21" customWidth="1"/>
    <col min="7" max="7" width="16.88671875" style="21" customWidth="1"/>
    <col min="8" max="16384" width="9.109375" style="21"/>
  </cols>
  <sheetData>
    <row r="1" spans="1:7" customFormat="1" ht="18" x14ac:dyDescent="0.25">
      <c r="A1" s="625" t="s">
        <v>491</v>
      </c>
      <c r="B1" s="626"/>
      <c r="C1" s="626"/>
      <c r="D1" s="626"/>
      <c r="E1" s="626"/>
      <c r="F1" s="626"/>
      <c r="G1" s="627"/>
    </row>
    <row r="2" spans="1:7" customFormat="1" ht="18" x14ac:dyDescent="0.25">
      <c r="A2" s="510" t="s">
        <v>484</v>
      </c>
      <c r="B2" s="511"/>
      <c r="C2" s="511"/>
      <c r="D2" s="511"/>
      <c r="E2" s="511"/>
      <c r="F2" s="511"/>
      <c r="G2" s="512"/>
    </row>
    <row r="3" spans="1:7" s="3" customFormat="1" ht="15.6" x14ac:dyDescent="0.25">
      <c r="A3" s="126"/>
    </row>
    <row r="4" spans="1:7" s="192" customFormat="1" ht="31.8" thickBot="1" x14ac:dyDescent="0.3">
      <c r="A4" s="628" t="s">
        <v>397</v>
      </c>
      <c r="B4" s="629"/>
      <c r="C4" s="377" t="s">
        <v>483</v>
      </c>
      <c r="D4" s="285" t="s">
        <v>466</v>
      </c>
      <c r="E4" s="285" t="s">
        <v>443</v>
      </c>
      <c r="F4" s="285" t="s">
        <v>444</v>
      </c>
      <c r="G4" s="285" t="s">
        <v>445</v>
      </c>
    </row>
    <row r="5" spans="1:7" s="3" customFormat="1" ht="15.6" x14ac:dyDescent="0.25">
      <c r="A5" s="293" t="s">
        <v>233</v>
      </c>
      <c r="B5" s="294" t="s">
        <v>234</v>
      </c>
      <c r="C5" s="486">
        <v>200000</v>
      </c>
      <c r="D5" s="491">
        <v>50000</v>
      </c>
      <c r="E5" s="494">
        <v>20000</v>
      </c>
      <c r="F5" s="355">
        <v>20000</v>
      </c>
      <c r="G5" s="355"/>
    </row>
    <row r="6" spans="1:7" s="3" customFormat="1" ht="15.6" x14ac:dyDescent="0.25">
      <c r="A6" s="282" t="s">
        <v>235</v>
      </c>
      <c r="B6" s="692" t="s">
        <v>631</v>
      </c>
      <c r="C6" s="486">
        <v>15000000</v>
      </c>
      <c r="D6" s="197">
        <v>8000000</v>
      </c>
      <c r="E6" s="227">
        <v>8000000</v>
      </c>
      <c r="F6" s="278">
        <f>9000000+500000+100000+1400000</f>
        <v>11000000</v>
      </c>
      <c r="G6" s="278"/>
    </row>
    <row r="7" spans="1:7" s="1" customFormat="1" ht="15.6" x14ac:dyDescent="0.25">
      <c r="A7" s="283" t="s">
        <v>237</v>
      </c>
      <c r="B7" s="284" t="s">
        <v>0</v>
      </c>
      <c r="C7" s="123">
        <f>SUM(C5:C6)</f>
        <v>15200000</v>
      </c>
      <c r="D7" s="198">
        <f>SUM(D5:D6)</f>
        <v>8050000</v>
      </c>
      <c r="E7" s="198">
        <f>SUM(E5:E6)</f>
        <v>8020000</v>
      </c>
      <c r="F7" s="357">
        <f>SUM(F5:F6)</f>
        <v>11020000</v>
      </c>
      <c r="G7" s="357"/>
    </row>
    <row r="8" spans="1:7" s="1" customFormat="1" ht="15.6" x14ac:dyDescent="0.25">
      <c r="A8" s="282" t="s">
        <v>238</v>
      </c>
      <c r="B8" s="281" t="s">
        <v>274</v>
      </c>
      <c r="C8" s="486">
        <v>700000</v>
      </c>
      <c r="D8" s="197">
        <v>700000</v>
      </c>
      <c r="E8" s="227">
        <v>700000</v>
      </c>
      <c r="F8" s="278">
        <v>550000</v>
      </c>
      <c r="G8" s="278"/>
    </row>
    <row r="9" spans="1:7" s="3" customFormat="1" ht="15.6" x14ac:dyDescent="0.25">
      <c r="A9" s="282" t="s">
        <v>239</v>
      </c>
      <c r="B9" s="281" t="s">
        <v>3</v>
      </c>
      <c r="C9" s="486">
        <v>150000</v>
      </c>
      <c r="D9" s="197">
        <v>150000</v>
      </c>
      <c r="E9" s="227">
        <v>150000</v>
      </c>
      <c r="F9" s="278">
        <v>50000</v>
      </c>
      <c r="G9" s="278"/>
    </row>
    <row r="10" spans="1:7" s="1" customFormat="1" ht="15.6" x14ac:dyDescent="0.25">
      <c r="A10" s="283" t="s">
        <v>240</v>
      </c>
      <c r="B10" s="284" t="s">
        <v>2</v>
      </c>
      <c r="C10" s="123">
        <f>SUM(C8:C9)</f>
        <v>850000</v>
      </c>
      <c r="D10" s="198">
        <f>SUM(D8:D9)</f>
        <v>850000</v>
      </c>
      <c r="E10" s="198">
        <f>SUM(E8:E9)</f>
        <v>850000</v>
      </c>
      <c r="F10" s="357">
        <f>SUM(F8:F9)</f>
        <v>600000</v>
      </c>
      <c r="G10" s="357"/>
    </row>
    <row r="11" spans="1:7" s="1" customFormat="1" ht="15.6" x14ac:dyDescent="0.25">
      <c r="A11" s="282" t="s">
        <v>241</v>
      </c>
      <c r="B11" s="281" t="s">
        <v>242</v>
      </c>
      <c r="C11" s="486">
        <v>7000000</v>
      </c>
      <c r="D11" s="197">
        <v>7000000</v>
      </c>
      <c r="E11" s="227">
        <v>7000000</v>
      </c>
      <c r="F11" s="278">
        <v>7500000</v>
      </c>
      <c r="G11" s="278"/>
    </row>
    <row r="12" spans="1:7" s="3" customFormat="1" ht="15.6" x14ac:dyDescent="0.25">
      <c r="A12" s="282" t="s">
        <v>243</v>
      </c>
      <c r="B12" s="281" t="s">
        <v>4</v>
      </c>
      <c r="C12" s="486">
        <v>30000</v>
      </c>
      <c r="D12" s="197">
        <v>30000</v>
      </c>
      <c r="E12" s="227">
        <v>30000</v>
      </c>
      <c r="F12" s="278">
        <v>30000</v>
      </c>
      <c r="G12" s="278"/>
    </row>
    <row r="13" spans="1:7" s="3" customFormat="1" ht="15.6" x14ac:dyDescent="0.25">
      <c r="A13" s="282" t="s">
        <v>244</v>
      </c>
      <c r="B13" s="281" t="s">
        <v>5</v>
      </c>
      <c r="C13" s="486">
        <v>520000</v>
      </c>
      <c r="D13" s="197">
        <v>500000</v>
      </c>
      <c r="E13" s="227">
        <v>500000</v>
      </c>
      <c r="F13" s="278">
        <v>350000</v>
      </c>
      <c r="G13" s="278"/>
    </row>
    <row r="14" spans="1:7" s="3" customFormat="1" ht="15.6" x14ac:dyDescent="0.25">
      <c r="A14" s="282" t="s">
        <v>245</v>
      </c>
      <c r="B14" s="281" t="s">
        <v>247</v>
      </c>
      <c r="C14" s="486">
        <v>1500000</v>
      </c>
      <c r="D14" s="197">
        <v>800000</v>
      </c>
      <c r="E14" s="227">
        <v>800000</v>
      </c>
      <c r="F14" s="278">
        <v>450000</v>
      </c>
      <c r="G14" s="278"/>
    </row>
    <row r="15" spans="1:7" s="3" customFormat="1" ht="15.6" x14ac:dyDescent="0.25">
      <c r="A15" s="282" t="s">
        <v>246</v>
      </c>
      <c r="B15" s="281" t="s">
        <v>248</v>
      </c>
      <c r="C15" s="486">
        <v>2500000</v>
      </c>
      <c r="D15" s="197">
        <v>2500000</v>
      </c>
      <c r="E15" s="227">
        <v>2500000</v>
      </c>
      <c r="F15" s="278">
        <v>2500000</v>
      </c>
      <c r="G15" s="278"/>
    </row>
    <row r="16" spans="1:7" s="3" customFormat="1" ht="15.6" x14ac:dyDescent="0.25">
      <c r="A16" s="282" t="s">
        <v>249</v>
      </c>
      <c r="B16" s="281" t="s">
        <v>250</v>
      </c>
      <c r="C16" s="486">
        <v>1500000</v>
      </c>
      <c r="D16" s="197">
        <v>1500000</v>
      </c>
      <c r="E16" s="227">
        <v>1500000</v>
      </c>
      <c r="F16" s="278">
        <v>1500000</v>
      </c>
      <c r="G16" s="278"/>
    </row>
    <row r="17" spans="1:7" s="3" customFormat="1" ht="15.6" x14ac:dyDescent="0.25">
      <c r="A17" s="282" t="s">
        <v>251</v>
      </c>
      <c r="B17" s="692" t="s">
        <v>632</v>
      </c>
      <c r="C17" s="486">
        <v>13000000</v>
      </c>
      <c r="D17" s="197">
        <v>9000000</v>
      </c>
      <c r="E17" s="227">
        <v>9000000</v>
      </c>
      <c r="F17" s="278">
        <f>10600000+500000+500000+200000+1000000+500000+400000+250000+650000</f>
        <v>14600000</v>
      </c>
      <c r="G17" s="278"/>
    </row>
    <row r="18" spans="1:7" s="1" customFormat="1" ht="15.6" x14ac:dyDescent="0.25">
      <c r="A18" s="283" t="s">
        <v>253</v>
      </c>
      <c r="B18" s="284" t="s">
        <v>254</v>
      </c>
      <c r="C18" s="123">
        <f>SUM(C11:C17)</f>
        <v>26050000</v>
      </c>
      <c r="D18" s="198">
        <f>SUM(D11:D17)</f>
        <v>21330000</v>
      </c>
      <c r="E18" s="198">
        <f>SUM(E11:E17)</f>
        <v>21330000</v>
      </c>
      <c r="F18" s="357">
        <f>SUM(F11:F17)</f>
        <v>26930000</v>
      </c>
      <c r="G18" s="357"/>
    </row>
    <row r="19" spans="1:7" s="3" customFormat="1" ht="15.6" x14ac:dyDescent="0.25">
      <c r="A19" s="282" t="s">
        <v>255</v>
      </c>
      <c r="B19" s="281" t="s">
        <v>256</v>
      </c>
      <c r="C19" s="486">
        <v>400000</v>
      </c>
      <c r="D19" s="197">
        <v>200000</v>
      </c>
      <c r="E19" s="227">
        <v>100000</v>
      </c>
      <c r="F19" s="278">
        <v>100000</v>
      </c>
      <c r="G19" s="278"/>
    </row>
    <row r="20" spans="1:7" s="1" customFormat="1" ht="15.6" x14ac:dyDescent="0.25">
      <c r="A20" s="283" t="s">
        <v>257</v>
      </c>
      <c r="B20" s="284" t="s">
        <v>258</v>
      </c>
      <c r="C20" s="123">
        <f>SUM(C19:C19)</f>
        <v>400000</v>
      </c>
      <c r="D20" s="198">
        <f>SUM(D19:D19)</f>
        <v>200000</v>
      </c>
      <c r="E20" s="198">
        <f>SUM(E19:E19)</f>
        <v>100000</v>
      </c>
      <c r="F20" s="357">
        <f>SUM(F19)</f>
        <v>100000</v>
      </c>
      <c r="G20" s="357"/>
    </row>
    <row r="21" spans="1:7" s="3" customFormat="1" ht="15.6" x14ac:dyDescent="0.25">
      <c r="A21" s="282" t="s">
        <v>259</v>
      </c>
      <c r="B21" s="281" t="s">
        <v>260</v>
      </c>
      <c r="C21" s="486">
        <v>8800000</v>
      </c>
      <c r="D21" s="197">
        <v>8000000</v>
      </c>
      <c r="E21" s="227">
        <v>8000000</v>
      </c>
      <c r="F21" s="278">
        <v>7500000</v>
      </c>
      <c r="G21" s="278"/>
    </row>
    <row r="22" spans="1:7" s="3" customFormat="1" ht="15.6" x14ac:dyDescent="0.25">
      <c r="A22" s="282" t="s">
        <v>261</v>
      </c>
      <c r="B22" s="281" t="s">
        <v>262</v>
      </c>
      <c r="C22" s="486">
        <v>5000000</v>
      </c>
      <c r="D22" s="197">
        <v>4000000</v>
      </c>
      <c r="E22" s="227">
        <v>4000000</v>
      </c>
      <c r="F22" s="278">
        <v>3500000</v>
      </c>
      <c r="G22" s="278"/>
    </row>
    <row r="23" spans="1:7" s="1" customFormat="1" ht="14.4" customHeight="1" x14ac:dyDescent="0.25">
      <c r="A23" s="282" t="s">
        <v>263</v>
      </c>
      <c r="B23" s="281" t="s">
        <v>264</v>
      </c>
      <c r="C23" s="486">
        <v>0</v>
      </c>
      <c r="D23" s="197">
        <v>0</v>
      </c>
      <c r="E23" s="227">
        <v>0</v>
      </c>
      <c r="F23" s="278">
        <v>0</v>
      </c>
      <c r="G23" s="278"/>
    </row>
    <row r="24" spans="1:7" s="3" customFormat="1" ht="15.6" x14ac:dyDescent="0.25">
      <c r="A24" s="282" t="s">
        <v>265</v>
      </c>
      <c r="B24" s="281" t="s">
        <v>266</v>
      </c>
      <c r="C24" s="486">
        <v>500000</v>
      </c>
      <c r="D24" s="197">
        <v>200000</v>
      </c>
      <c r="E24" s="227">
        <v>350000</v>
      </c>
      <c r="F24" s="278">
        <v>650000</v>
      </c>
      <c r="G24" s="278"/>
    </row>
    <row r="25" spans="1:7" s="1" customFormat="1" ht="15.6" x14ac:dyDescent="0.25">
      <c r="A25" s="283" t="s">
        <v>267</v>
      </c>
      <c r="B25" s="284" t="s">
        <v>268</v>
      </c>
      <c r="C25" s="123">
        <f>SUM(C21:C24)</f>
        <v>14300000</v>
      </c>
      <c r="D25" s="198">
        <f>SUM(D21:D24)</f>
        <v>12200000</v>
      </c>
      <c r="E25" s="198">
        <f>SUM(E21:E24)</f>
        <v>12350000</v>
      </c>
      <c r="F25" s="357">
        <f>SUM(F21:F24)</f>
        <v>11650000</v>
      </c>
      <c r="G25" s="357"/>
    </row>
    <row r="26" spans="1:7" s="3" customFormat="1" ht="15.6" x14ac:dyDescent="0.25">
      <c r="A26" s="290" t="s">
        <v>269</v>
      </c>
      <c r="B26" s="291" t="s">
        <v>37</v>
      </c>
      <c r="C26" s="379">
        <f>(C7+C10+C18+C20+C25)</f>
        <v>56800000</v>
      </c>
      <c r="D26" s="493">
        <f>(D7+D10+D18+D20+D25)</f>
        <v>42630000</v>
      </c>
      <c r="E26" s="493">
        <f>(E7+E10+E18+E20+E25)</f>
        <v>42650000</v>
      </c>
      <c r="F26" s="265">
        <f>(F7+F10+F18+F20+F25)</f>
        <v>50300000</v>
      </c>
      <c r="G26" s="257"/>
    </row>
    <row r="27" spans="1:7" ht="15.6" x14ac:dyDescent="0.3">
      <c r="B27" s="23"/>
      <c r="C27" s="2"/>
      <c r="D27" s="6"/>
      <c r="E27" s="266"/>
      <c r="F27" s="6"/>
      <c r="G27" s="6"/>
    </row>
    <row r="28" spans="1:7" s="192" customFormat="1" ht="31.8" thickBot="1" x14ac:dyDescent="0.3">
      <c r="A28" s="630" t="s">
        <v>482</v>
      </c>
      <c r="B28" s="631"/>
      <c r="C28" s="377" t="s">
        <v>483</v>
      </c>
      <c r="D28" s="285" t="s">
        <v>464</v>
      </c>
      <c r="E28" s="285" t="s">
        <v>443</v>
      </c>
      <c r="F28" s="285" t="s">
        <v>444</v>
      </c>
      <c r="G28" s="285" t="s">
        <v>445</v>
      </c>
    </row>
    <row r="29" spans="1:7" s="3" customFormat="1" ht="15.6" x14ac:dyDescent="0.25">
      <c r="A29" s="293" t="s">
        <v>233</v>
      </c>
      <c r="B29" s="294" t="s">
        <v>234</v>
      </c>
      <c r="C29" s="486">
        <v>15000</v>
      </c>
      <c r="D29" s="491">
        <v>150000</v>
      </c>
      <c r="E29" s="494">
        <v>150000</v>
      </c>
      <c r="F29" s="355">
        <v>150000</v>
      </c>
      <c r="G29" s="355"/>
    </row>
    <row r="30" spans="1:7" s="3" customFormat="1" ht="15.6" x14ac:dyDescent="0.25">
      <c r="A30" s="282" t="s">
        <v>235</v>
      </c>
      <c r="B30" s="281" t="s">
        <v>236</v>
      </c>
      <c r="C30" s="486">
        <v>16000000</v>
      </c>
      <c r="D30" s="197">
        <f>16500000+122432</f>
        <v>16622432</v>
      </c>
      <c r="E30" s="227">
        <v>15000000</v>
      </c>
      <c r="F30" s="278">
        <v>17000000</v>
      </c>
      <c r="G30" s="278"/>
    </row>
    <row r="31" spans="1:7" s="1" customFormat="1" ht="15.6" x14ac:dyDescent="0.25">
      <c r="A31" s="283" t="s">
        <v>237</v>
      </c>
      <c r="B31" s="284" t="s">
        <v>0</v>
      </c>
      <c r="C31" s="123">
        <f>SUM(C29:C30)</f>
        <v>16015000</v>
      </c>
      <c r="D31" s="198">
        <f>SUM(D29:D30)</f>
        <v>16772432</v>
      </c>
      <c r="E31" s="198">
        <f>SUM(E29:E30)</f>
        <v>15150000</v>
      </c>
      <c r="F31" s="357">
        <f>SUM(F29:F30)</f>
        <v>17150000</v>
      </c>
      <c r="G31" s="357"/>
    </row>
    <row r="32" spans="1:7" s="1" customFormat="1" ht="15.6" x14ac:dyDescent="0.25">
      <c r="A32" s="282" t="s">
        <v>238</v>
      </c>
      <c r="B32" s="281" t="s">
        <v>274</v>
      </c>
      <c r="C32" s="486">
        <v>500000</v>
      </c>
      <c r="D32" s="197">
        <v>400000</v>
      </c>
      <c r="E32" s="227">
        <v>300000</v>
      </c>
      <c r="F32" s="278">
        <v>300000</v>
      </c>
      <c r="G32" s="278"/>
    </row>
    <row r="33" spans="1:7" s="3" customFormat="1" ht="15.6" x14ac:dyDescent="0.25">
      <c r="A33" s="282" t="s">
        <v>239</v>
      </c>
      <c r="B33" s="281" t="s">
        <v>3</v>
      </c>
      <c r="C33" s="486">
        <v>250000</v>
      </c>
      <c r="D33" s="197">
        <v>250000</v>
      </c>
      <c r="E33" s="227">
        <v>250000</v>
      </c>
      <c r="F33" s="278">
        <v>250000</v>
      </c>
      <c r="G33" s="278"/>
    </row>
    <row r="34" spans="1:7" s="1" customFormat="1" ht="15.6" x14ac:dyDescent="0.25">
      <c r="A34" s="283" t="s">
        <v>240</v>
      </c>
      <c r="B34" s="284" t="s">
        <v>2</v>
      </c>
      <c r="C34" s="123">
        <f>SUM(C32:C33)</f>
        <v>750000</v>
      </c>
      <c r="D34" s="198">
        <f>SUM(D32:D33)</f>
        <v>650000</v>
      </c>
      <c r="E34" s="198">
        <f>SUM(E32:E33)</f>
        <v>550000</v>
      </c>
      <c r="F34" s="357">
        <f>SUM(F32:F33)</f>
        <v>550000</v>
      </c>
      <c r="G34" s="357"/>
    </row>
    <row r="35" spans="1:7" s="1" customFormat="1" ht="15.6" x14ac:dyDescent="0.25">
      <c r="A35" s="282" t="s">
        <v>241</v>
      </c>
      <c r="B35" s="281" t="s">
        <v>242</v>
      </c>
      <c r="C35" s="486">
        <v>2000000</v>
      </c>
      <c r="D35" s="197">
        <v>2000000</v>
      </c>
      <c r="E35" s="227">
        <v>2000000</v>
      </c>
      <c r="F35" s="278">
        <v>2000000</v>
      </c>
      <c r="G35" s="278"/>
    </row>
    <row r="36" spans="1:7" s="3" customFormat="1" ht="15.6" x14ac:dyDescent="0.25">
      <c r="A36" s="282" t="s">
        <v>243</v>
      </c>
      <c r="B36" s="281" t="s">
        <v>4</v>
      </c>
      <c r="C36" s="486">
        <v>10000</v>
      </c>
      <c r="D36" s="197">
        <v>10000</v>
      </c>
      <c r="E36" s="227">
        <v>10000</v>
      </c>
      <c r="F36" s="278">
        <v>10000</v>
      </c>
      <c r="G36" s="278"/>
    </row>
    <row r="37" spans="1:7" s="3" customFormat="1" ht="15.6" x14ac:dyDescent="0.25">
      <c r="A37" s="282" t="s">
        <v>244</v>
      </c>
      <c r="B37" s="281" t="s">
        <v>5</v>
      </c>
      <c r="C37" s="486">
        <v>50000</v>
      </c>
      <c r="D37" s="197">
        <v>30000</v>
      </c>
      <c r="E37" s="227">
        <v>70000</v>
      </c>
      <c r="F37" s="278">
        <v>60000</v>
      </c>
      <c r="G37" s="278"/>
    </row>
    <row r="38" spans="1:7" s="3" customFormat="1" ht="15.6" x14ac:dyDescent="0.25">
      <c r="A38" s="282" t="s">
        <v>245</v>
      </c>
      <c r="B38" s="281" t="s">
        <v>247</v>
      </c>
      <c r="C38" s="486">
        <v>100000</v>
      </c>
      <c r="D38" s="197">
        <v>80000</v>
      </c>
      <c r="E38" s="227">
        <v>100000</v>
      </c>
      <c r="F38" s="278">
        <v>130000</v>
      </c>
      <c r="G38" s="278"/>
    </row>
    <row r="39" spans="1:7" s="3" customFormat="1" ht="15.6" x14ac:dyDescent="0.25">
      <c r="A39" s="282" t="s">
        <v>249</v>
      </c>
      <c r="B39" s="281" t="s">
        <v>250</v>
      </c>
      <c r="C39" s="486">
        <v>300000</v>
      </c>
      <c r="D39" s="197">
        <v>200000</v>
      </c>
      <c r="E39" s="227">
        <v>200000</v>
      </c>
      <c r="F39" s="278">
        <v>50000</v>
      </c>
      <c r="G39" s="278"/>
    </row>
    <row r="40" spans="1:7" s="3" customFormat="1" ht="15.6" x14ac:dyDescent="0.25">
      <c r="A40" s="282" t="s">
        <v>251</v>
      </c>
      <c r="B40" s="281" t="s">
        <v>252</v>
      </c>
      <c r="C40" s="486">
        <v>1000000</v>
      </c>
      <c r="D40" s="197">
        <v>1000000</v>
      </c>
      <c r="E40" s="227">
        <v>1000000</v>
      </c>
      <c r="F40" s="278">
        <v>1110000</v>
      </c>
      <c r="G40" s="278"/>
    </row>
    <row r="41" spans="1:7" s="1" customFormat="1" ht="15.6" x14ac:dyDescent="0.25">
      <c r="A41" s="283" t="s">
        <v>253</v>
      </c>
      <c r="B41" s="284" t="s">
        <v>254</v>
      </c>
      <c r="C41" s="123">
        <f>SUM(C35:C40)</f>
        <v>3460000</v>
      </c>
      <c r="D41" s="198">
        <f>SUM(D35:D40)</f>
        <v>3320000</v>
      </c>
      <c r="E41" s="198">
        <f>SUM(E35:E40)</f>
        <v>3380000</v>
      </c>
      <c r="F41" s="357">
        <f>SUM(F35:F40)</f>
        <v>3360000</v>
      </c>
      <c r="G41" s="357"/>
    </row>
    <row r="42" spans="1:7" s="3" customFormat="1" ht="15.6" x14ac:dyDescent="0.25">
      <c r="A42" s="282" t="s">
        <v>255</v>
      </c>
      <c r="B42" s="281" t="s">
        <v>256</v>
      </c>
      <c r="C42" s="486">
        <v>330000</v>
      </c>
      <c r="D42" s="197">
        <v>230000</v>
      </c>
      <c r="E42" s="227">
        <v>100000</v>
      </c>
      <c r="F42" s="278">
        <v>100000</v>
      </c>
      <c r="G42" s="278"/>
    </row>
    <row r="43" spans="1:7" s="1" customFormat="1" ht="15.6" x14ac:dyDescent="0.25">
      <c r="A43" s="283" t="s">
        <v>257</v>
      </c>
      <c r="B43" s="284" t="s">
        <v>258</v>
      </c>
      <c r="C43" s="123">
        <f>SUM(C42:C42)</f>
        <v>330000</v>
      </c>
      <c r="D43" s="198">
        <f>SUM(D42:D42)</f>
        <v>230000</v>
      </c>
      <c r="E43" s="198">
        <f>SUM(E42:E42)</f>
        <v>100000</v>
      </c>
      <c r="F43" s="357">
        <f>SUM(F42)</f>
        <v>100000</v>
      </c>
      <c r="G43" s="357"/>
    </row>
    <row r="44" spans="1:7" s="3" customFormat="1" ht="15.6" x14ac:dyDescent="0.25">
      <c r="A44" s="282" t="s">
        <v>259</v>
      </c>
      <c r="B44" s="281" t="s">
        <v>260</v>
      </c>
      <c r="C44" s="486">
        <v>3800000</v>
      </c>
      <c r="D44" s="197">
        <v>3800000</v>
      </c>
      <c r="E44" s="227">
        <v>3800000</v>
      </c>
      <c r="F44" s="278">
        <v>3300000</v>
      </c>
      <c r="G44" s="278"/>
    </row>
    <row r="45" spans="1:7" s="3" customFormat="1" ht="15.6" x14ac:dyDescent="0.25">
      <c r="A45" s="282" t="s">
        <v>261</v>
      </c>
      <c r="B45" s="281" t="s">
        <v>262</v>
      </c>
      <c r="C45" s="486">
        <v>1800000</v>
      </c>
      <c r="D45" s="197">
        <v>1800000</v>
      </c>
      <c r="E45" s="227">
        <v>1800000</v>
      </c>
      <c r="F45" s="278">
        <v>1800000</v>
      </c>
      <c r="G45" s="278"/>
    </row>
    <row r="46" spans="1:7" s="1" customFormat="1" ht="14.4" customHeight="1" x14ac:dyDescent="0.25">
      <c r="A46" s="282" t="s">
        <v>263</v>
      </c>
      <c r="B46" s="281" t="s">
        <v>264</v>
      </c>
      <c r="C46" s="486">
        <v>0</v>
      </c>
      <c r="D46" s="197">
        <v>0</v>
      </c>
      <c r="E46" s="227">
        <v>0</v>
      </c>
      <c r="F46" s="278">
        <v>0</v>
      </c>
      <c r="G46" s="278"/>
    </row>
    <row r="47" spans="1:7" s="3" customFormat="1" ht="13.95" customHeight="1" x14ac:dyDescent="0.25">
      <c r="A47" s="282" t="s">
        <v>265</v>
      </c>
      <c r="B47" s="281" t="s">
        <v>266</v>
      </c>
      <c r="C47" s="486">
        <v>350000</v>
      </c>
      <c r="D47" s="197">
        <v>350000</v>
      </c>
      <c r="E47" s="227">
        <v>350000</v>
      </c>
      <c r="F47" s="278">
        <v>350000</v>
      </c>
      <c r="G47" s="278"/>
    </row>
    <row r="48" spans="1:7" s="1" customFormat="1" ht="15.6" x14ac:dyDescent="0.25">
      <c r="A48" s="283" t="s">
        <v>267</v>
      </c>
      <c r="B48" s="284" t="s">
        <v>268</v>
      </c>
      <c r="C48" s="123">
        <f>SUM(C44:C47)</f>
        <v>5950000</v>
      </c>
      <c r="D48" s="492">
        <f>SUM(D44:D47)</f>
        <v>5950000</v>
      </c>
      <c r="E48" s="492">
        <f>SUM(E44:E47)</f>
        <v>5950000</v>
      </c>
      <c r="F48" s="252">
        <f>SUM(F44:F47)</f>
        <v>5450000</v>
      </c>
      <c r="G48" s="252"/>
    </row>
    <row r="49" spans="1:7" s="3" customFormat="1" ht="15.6" x14ac:dyDescent="0.25">
      <c r="A49" s="290" t="s">
        <v>269</v>
      </c>
      <c r="B49" s="291" t="s">
        <v>37</v>
      </c>
      <c r="C49" s="379">
        <f>(C31+C34+C41+C43+C48)</f>
        <v>26505000</v>
      </c>
      <c r="D49" s="493">
        <f>(D31+D34+D41+D43+D48)</f>
        <v>26922432</v>
      </c>
      <c r="E49" s="493">
        <f>(E31+E34+E41+E43+E48)</f>
        <v>25130000</v>
      </c>
      <c r="F49" s="265">
        <f>(F31+F34+F41+F43+F48)</f>
        <v>26610000</v>
      </c>
      <c r="G49" s="257"/>
    </row>
    <row r="50" spans="1:7" ht="15" x14ac:dyDescent="0.25">
      <c r="C50" s="6"/>
      <c r="D50" s="6"/>
      <c r="E50" s="6"/>
      <c r="F50" s="6"/>
      <c r="G50" s="6"/>
    </row>
    <row r="51" spans="1:7" s="192" customFormat="1" ht="31.8" thickBot="1" x14ac:dyDescent="0.3">
      <c r="A51" s="632" t="s">
        <v>398</v>
      </c>
      <c r="B51" s="633"/>
      <c r="C51" s="377" t="s">
        <v>483</v>
      </c>
      <c r="D51" s="285" t="s">
        <v>464</v>
      </c>
      <c r="E51" s="285" t="s">
        <v>443</v>
      </c>
      <c r="F51" s="285" t="s">
        <v>444</v>
      </c>
      <c r="G51" s="285" t="s">
        <v>445</v>
      </c>
    </row>
    <row r="52" spans="1:7" s="3" customFormat="1" ht="15.6" x14ac:dyDescent="0.25">
      <c r="A52" s="293" t="s">
        <v>233</v>
      </c>
      <c r="B52" s="294" t="s">
        <v>234</v>
      </c>
      <c r="C52" s="378">
        <v>80000</v>
      </c>
      <c r="D52" s="491">
        <v>50000</v>
      </c>
      <c r="E52" s="491">
        <v>50000</v>
      </c>
      <c r="F52" s="355">
        <v>25000</v>
      </c>
      <c r="G52" s="355"/>
    </row>
    <row r="53" spans="1:7" s="3" customFormat="1" ht="15.6" x14ac:dyDescent="0.25">
      <c r="A53" s="282" t="s">
        <v>235</v>
      </c>
      <c r="B53" s="281" t="s">
        <v>236</v>
      </c>
      <c r="C53" s="378">
        <v>300000</v>
      </c>
      <c r="D53" s="197">
        <v>400000</v>
      </c>
      <c r="E53" s="197">
        <v>550000</v>
      </c>
      <c r="F53" s="278">
        <v>650000</v>
      </c>
      <c r="G53" s="278"/>
    </row>
    <row r="54" spans="1:7" s="1" customFormat="1" ht="15.6" x14ac:dyDescent="0.25">
      <c r="A54" s="283" t="s">
        <v>237</v>
      </c>
      <c r="B54" s="284" t="s">
        <v>0</v>
      </c>
      <c r="C54" s="123">
        <f>SUM(C52:C53)</f>
        <v>380000</v>
      </c>
      <c r="D54" s="198">
        <f>SUM(D52:D53)</f>
        <v>450000</v>
      </c>
      <c r="E54" s="198">
        <f>SUM(E52:E53)</f>
        <v>600000</v>
      </c>
      <c r="F54" s="356">
        <f>SUM(F52:F53)</f>
        <v>675000</v>
      </c>
      <c r="G54" s="357"/>
    </row>
    <row r="55" spans="1:7" s="1" customFormat="1" ht="15.6" x14ac:dyDescent="0.25">
      <c r="A55" s="282" t="s">
        <v>238</v>
      </c>
      <c r="B55" s="281" t="s">
        <v>274</v>
      </c>
      <c r="C55" s="378">
        <v>180000</v>
      </c>
      <c r="D55" s="197">
        <v>180000</v>
      </c>
      <c r="E55" s="197">
        <v>180000</v>
      </c>
      <c r="F55" s="278">
        <v>200000</v>
      </c>
      <c r="G55" s="278"/>
    </row>
    <row r="56" spans="1:7" s="3" customFormat="1" ht="15.6" x14ac:dyDescent="0.25">
      <c r="A56" s="282" t="s">
        <v>239</v>
      </c>
      <c r="B56" s="281" t="s">
        <v>3</v>
      </c>
      <c r="C56" s="378">
        <v>180000</v>
      </c>
      <c r="D56" s="197">
        <v>175000</v>
      </c>
      <c r="E56" s="197">
        <v>175000</v>
      </c>
      <c r="F56" s="278">
        <v>175000</v>
      </c>
      <c r="G56" s="278"/>
    </row>
    <row r="57" spans="1:7" s="1" customFormat="1" ht="15.6" x14ac:dyDescent="0.25">
      <c r="A57" s="283" t="s">
        <v>240</v>
      </c>
      <c r="B57" s="284" t="s">
        <v>2</v>
      </c>
      <c r="C57" s="123">
        <f>SUM(C55:C56)</f>
        <v>360000</v>
      </c>
      <c r="D57" s="198">
        <f>SUM(D55:D56)</f>
        <v>355000</v>
      </c>
      <c r="E57" s="198">
        <f>SUM(E55:E56)</f>
        <v>355000</v>
      </c>
      <c r="F57" s="356">
        <f>SUM(F55:F56)</f>
        <v>375000</v>
      </c>
      <c r="G57" s="357"/>
    </row>
    <row r="58" spans="1:7" s="1" customFormat="1" ht="15.6" x14ac:dyDescent="0.25">
      <c r="A58" s="282" t="s">
        <v>241</v>
      </c>
      <c r="B58" s="281" t="s">
        <v>242</v>
      </c>
      <c r="C58" s="378">
        <v>780000</v>
      </c>
      <c r="D58" s="197">
        <v>1000000</v>
      </c>
      <c r="E58" s="197">
        <v>800000</v>
      </c>
      <c r="F58" s="278">
        <v>800000</v>
      </c>
      <c r="G58" s="278"/>
    </row>
    <row r="59" spans="1:7" s="3" customFormat="1" ht="15.6" x14ac:dyDescent="0.25">
      <c r="A59" s="282" t="s">
        <v>243</v>
      </c>
      <c r="B59" s="281" t="s">
        <v>4</v>
      </c>
      <c r="C59" s="378">
        <v>10000</v>
      </c>
      <c r="D59" s="197">
        <v>10000</v>
      </c>
      <c r="E59" s="197">
        <v>10000</v>
      </c>
      <c r="F59" s="278">
        <v>10000</v>
      </c>
      <c r="G59" s="278"/>
    </row>
    <row r="60" spans="1:7" s="3" customFormat="1" ht="15.6" x14ac:dyDescent="0.25">
      <c r="A60" s="282" t="s">
        <v>244</v>
      </c>
      <c r="B60" s="281" t="s">
        <v>5</v>
      </c>
      <c r="C60" s="378">
        <v>0</v>
      </c>
      <c r="D60" s="197">
        <v>0</v>
      </c>
      <c r="E60" s="197">
        <v>0</v>
      </c>
      <c r="F60" s="278">
        <v>0</v>
      </c>
      <c r="G60" s="278"/>
    </row>
    <row r="61" spans="1:7" s="3" customFormat="1" ht="15.6" x14ac:dyDescent="0.25">
      <c r="A61" s="282" t="s">
        <v>245</v>
      </c>
      <c r="B61" s="281" t="s">
        <v>247</v>
      </c>
      <c r="C61" s="378">
        <v>50000</v>
      </c>
      <c r="D61" s="197">
        <v>50000</v>
      </c>
      <c r="E61" s="197">
        <v>50000</v>
      </c>
      <c r="F61" s="278">
        <v>50000</v>
      </c>
      <c r="G61" s="278"/>
    </row>
    <row r="62" spans="1:7" s="3" customFormat="1" ht="15.6" x14ac:dyDescent="0.25">
      <c r="A62" s="282" t="s">
        <v>249</v>
      </c>
      <c r="B62" s="281" t="s">
        <v>250</v>
      </c>
      <c r="C62" s="378">
        <v>300000</v>
      </c>
      <c r="D62" s="197">
        <v>300000</v>
      </c>
      <c r="E62" s="197">
        <v>350000</v>
      </c>
      <c r="F62" s="278">
        <v>350000</v>
      </c>
      <c r="G62" s="278"/>
    </row>
    <row r="63" spans="1:7" s="3" customFormat="1" ht="15.6" x14ac:dyDescent="0.25">
      <c r="A63" s="282" t="s">
        <v>251</v>
      </c>
      <c r="B63" s="281" t="s">
        <v>252</v>
      </c>
      <c r="C63" s="378">
        <v>250000</v>
      </c>
      <c r="D63" s="197">
        <v>250000</v>
      </c>
      <c r="E63" s="197">
        <v>250000</v>
      </c>
      <c r="F63" s="278">
        <v>250000</v>
      </c>
      <c r="G63" s="278"/>
    </row>
    <row r="64" spans="1:7" s="1" customFormat="1" ht="15.6" x14ac:dyDescent="0.25">
      <c r="A64" s="283" t="s">
        <v>253</v>
      </c>
      <c r="B64" s="284" t="s">
        <v>254</v>
      </c>
      <c r="C64" s="123">
        <f>SUM(C58:C63)</f>
        <v>1390000</v>
      </c>
      <c r="D64" s="198">
        <f>SUM(D58:D63)</f>
        <v>1610000</v>
      </c>
      <c r="E64" s="198">
        <f>SUM(E58:E63)</f>
        <v>1460000</v>
      </c>
      <c r="F64" s="356">
        <f>SUM(F58:F63)</f>
        <v>1460000</v>
      </c>
      <c r="G64" s="357"/>
    </row>
    <row r="65" spans="1:7" s="3" customFormat="1" ht="15.6" x14ac:dyDescent="0.25">
      <c r="A65" s="282" t="s">
        <v>255</v>
      </c>
      <c r="B65" s="281" t="s">
        <v>256</v>
      </c>
      <c r="C65" s="378">
        <v>85000</v>
      </c>
      <c r="D65" s="197">
        <v>120000</v>
      </c>
      <c r="E65" s="197">
        <v>120000</v>
      </c>
      <c r="F65" s="278">
        <v>120000</v>
      </c>
      <c r="G65" s="278"/>
    </row>
    <row r="66" spans="1:7" s="1" customFormat="1" ht="15.6" x14ac:dyDescent="0.25">
      <c r="A66" s="283" t="s">
        <v>257</v>
      </c>
      <c r="B66" s="284" t="s">
        <v>258</v>
      </c>
      <c r="C66" s="123">
        <f>SUM(C65:C65)</f>
        <v>85000</v>
      </c>
      <c r="D66" s="198">
        <f>SUM(D65:D65)</f>
        <v>120000</v>
      </c>
      <c r="E66" s="198">
        <f>SUM(E65:E65)</f>
        <v>120000</v>
      </c>
      <c r="F66" s="356">
        <f>SUM(F65:F65)</f>
        <v>120000</v>
      </c>
      <c r="G66" s="357"/>
    </row>
    <row r="67" spans="1:7" s="3" customFormat="1" ht="15.6" x14ac:dyDescent="0.25">
      <c r="A67" s="282" t="s">
        <v>259</v>
      </c>
      <c r="B67" s="281" t="s">
        <v>260</v>
      </c>
      <c r="C67" s="378">
        <v>460000</v>
      </c>
      <c r="D67" s="197">
        <v>460000</v>
      </c>
      <c r="E67" s="197">
        <v>460000</v>
      </c>
      <c r="F67" s="278">
        <v>485000</v>
      </c>
      <c r="G67" s="278"/>
    </row>
    <row r="68" spans="1:7" s="3" customFormat="1" ht="15.6" x14ac:dyDescent="0.25">
      <c r="A68" s="282" t="s">
        <v>261</v>
      </c>
      <c r="B68" s="281" t="s">
        <v>262</v>
      </c>
      <c r="C68" s="378">
        <v>0</v>
      </c>
      <c r="D68" s="197">
        <v>0</v>
      </c>
      <c r="E68" s="197">
        <v>0</v>
      </c>
      <c r="F68" s="278">
        <v>0</v>
      </c>
      <c r="G68" s="278"/>
    </row>
    <row r="69" spans="1:7" s="1" customFormat="1" ht="14.4" customHeight="1" x14ac:dyDescent="0.25">
      <c r="A69" s="282" t="s">
        <v>263</v>
      </c>
      <c r="B69" s="281" t="s">
        <v>264</v>
      </c>
      <c r="C69" s="378">
        <v>0</v>
      </c>
      <c r="D69" s="197">
        <v>0</v>
      </c>
      <c r="E69" s="197">
        <v>0</v>
      </c>
      <c r="F69" s="278">
        <v>0</v>
      </c>
      <c r="G69" s="278"/>
    </row>
    <row r="70" spans="1:7" s="3" customFormat="1" ht="13.95" customHeight="1" x14ac:dyDescent="0.25">
      <c r="A70" s="282" t="s">
        <v>265</v>
      </c>
      <c r="B70" s="281" t="s">
        <v>266</v>
      </c>
      <c r="C70" s="378">
        <v>60000</v>
      </c>
      <c r="D70" s="197">
        <v>60000</v>
      </c>
      <c r="E70" s="197">
        <v>60000</v>
      </c>
      <c r="F70" s="278">
        <v>60000</v>
      </c>
      <c r="G70" s="278"/>
    </row>
    <row r="71" spans="1:7" s="1" customFormat="1" ht="15.6" x14ac:dyDescent="0.25">
      <c r="A71" s="283" t="s">
        <v>267</v>
      </c>
      <c r="B71" s="284" t="s">
        <v>268</v>
      </c>
      <c r="C71" s="123">
        <f>SUM(C67:C70)</f>
        <v>520000</v>
      </c>
      <c r="D71" s="492">
        <f>SUM(D67:D70)</f>
        <v>520000</v>
      </c>
      <c r="E71" s="492">
        <f>SUM(E67:E70)</f>
        <v>520000</v>
      </c>
      <c r="F71" s="262">
        <f>SUM(F67:F70)</f>
        <v>545000</v>
      </c>
      <c r="G71" s="252"/>
    </row>
    <row r="72" spans="1:7" s="3" customFormat="1" ht="15.6" x14ac:dyDescent="0.25">
      <c r="A72" s="290" t="s">
        <v>269</v>
      </c>
      <c r="B72" s="291" t="s">
        <v>37</v>
      </c>
      <c r="C72" s="379">
        <f>(C54+C57+C64+C66+C71)</f>
        <v>2735000</v>
      </c>
      <c r="D72" s="493">
        <f>(D54+D57+D64+D66+D71)</f>
        <v>3055000</v>
      </c>
      <c r="E72" s="493">
        <f>(E54+E57+E64+E66+E71)</f>
        <v>3055000</v>
      </c>
      <c r="F72" s="265">
        <f>(F54+F57+F64+F66+F71)</f>
        <v>3175000</v>
      </c>
      <c r="G72" s="257"/>
    </row>
    <row r="73" spans="1:7" ht="15" x14ac:dyDescent="0.25">
      <c r="C73" s="6"/>
      <c r="D73" s="6"/>
      <c r="E73" s="6"/>
      <c r="F73" s="6"/>
      <c r="G73" s="6"/>
    </row>
    <row r="74" spans="1:7" s="192" customFormat="1" ht="31.8" thickBot="1" x14ac:dyDescent="0.3">
      <c r="A74" s="623" t="s">
        <v>394</v>
      </c>
      <c r="B74" s="624"/>
      <c r="C74" s="377" t="s">
        <v>483</v>
      </c>
      <c r="D74" s="285" t="s">
        <v>464</v>
      </c>
      <c r="E74" s="285" t="s">
        <v>443</v>
      </c>
      <c r="F74" s="285" t="s">
        <v>444</v>
      </c>
      <c r="G74" s="285" t="s">
        <v>445</v>
      </c>
    </row>
    <row r="75" spans="1:7" s="3" customFormat="1" ht="15.6" x14ac:dyDescent="0.25">
      <c r="A75" s="293" t="s">
        <v>233</v>
      </c>
      <c r="B75" s="294" t="s">
        <v>234</v>
      </c>
      <c r="C75" s="486">
        <v>50000</v>
      </c>
      <c r="D75" s="491">
        <v>50000</v>
      </c>
      <c r="E75" s="491">
        <v>50000</v>
      </c>
      <c r="F75" s="355">
        <v>50000</v>
      </c>
      <c r="G75" s="355"/>
    </row>
    <row r="76" spans="1:7" s="3" customFormat="1" ht="15.6" x14ac:dyDescent="0.25">
      <c r="A76" s="282" t="s">
        <v>235</v>
      </c>
      <c r="B76" s="281" t="s">
        <v>236</v>
      </c>
      <c r="C76" s="486">
        <v>1500000</v>
      </c>
      <c r="D76" s="197">
        <v>1400000</v>
      </c>
      <c r="E76" s="197">
        <v>1400000</v>
      </c>
      <c r="F76" s="278">
        <v>1800000</v>
      </c>
      <c r="G76" s="278"/>
    </row>
    <row r="77" spans="1:7" s="1" customFormat="1" ht="15.6" x14ac:dyDescent="0.25">
      <c r="A77" s="283" t="s">
        <v>237</v>
      </c>
      <c r="B77" s="284" t="s">
        <v>0</v>
      </c>
      <c r="C77" s="123">
        <f>SUM(C75:C76)</f>
        <v>1550000</v>
      </c>
      <c r="D77" s="198">
        <f>SUM(D75:D76)</f>
        <v>1450000</v>
      </c>
      <c r="E77" s="198">
        <f>SUM(E75:E76)</f>
        <v>1450000</v>
      </c>
      <c r="F77" s="198">
        <f>SUM(F75:F76)</f>
        <v>1850000</v>
      </c>
      <c r="G77" s="357"/>
    </row>
    <row r="78" spans="1:7" s="1" customFormat="1" ht="15.6" x14ac:dyDescent="0.25">
      <c r="A78" s="282" t="s">
        <v>238</v>
      </c>
      <c r="B78" s="281" t="s">
        <v>274</v>
      </c>
      <c r="C78" s="486">
        <v>0</v>
      </c>
      <c r="D78" s="197">
        <v>0</v>
      </c>
      <c r="E78" s="197">
        <v>0</v>
      </c>
      <c r="F78" s="278">
        <v>0</v>
      </c>
      <c r="G78" s="278"/>
    </row>
    <row r="79" spans="1:7" s="3" customFormat="1" ht="15.6" x14ac:dyDescent="0.25">
      <c r="A79" s="282" t="s">
        <v>239</v>
      </c>
      <c r="B79" s="281" t="s">
        <v>3</v>
      </c>
      <c r="C79" s="486">
        <v>100000</v>
      </c>
      <c r="D79" s="197">
        <v>100000</v>
      </c>
      <c r="E79" s="197">
        <v>100000</v>
      </c>
      <c r="F79" s="278">
        <v>100000</v>
      </c>
      <c r="G79" s="278"/>
    </row>
    <row r="80" spans="1:7" s="1" customFormat="1" ht="15.6" x14ac:dyDescent="0.25">
      <c r="A80" s="283" t="s">
        <v>240</v>
      </c>
      <c r="B80" s="284" t="s">
        <v>2</v>
      </c>
      <c r="C80" s="123">
        <f>SUM(C78:C79)</f>
        <v>100000</v>
      </c>
      <c r="D80" s="198">
        <f>SUM(D78:D79)</f>
        <v>100000</v>
      </c>
      <c r="E80" s="198">
        <f>SUM(E78:E79)</f>
        <v>100000</v>
      </c>
      <c r="F80" s="198">
        <f>SUM(F78:F79)</f>
        <v>100000</v>
      </c>
      <c r="G80" s="357"/>
    </row>
    <row r="81" spans="1:7" s="1" customFormat="1" ht="15.6" x14ac:dyDescent="0.25">
      <c r="A81" s="282" t="s">
        <v>241</v>
      </c>
      <c r="B81" s="281" t="s">
        <v>242</v>
      </c>
      <c r="C81" s="486">
        <v>1000000</v>
      </c>
      <c r="D81" s="197">
        <v>1000000</v>
      </c>
      <c r="E81" s="197">
        <v>1000000</v>
      </c>
      <c r="F81" s="278">
        <v>1000000</v>
      </c>
      <c r="G81" s="278"/>
    </row>
    <row r="82" spans="1:7" s="3" customFormat="1" ht="15.6" x14ac:dyDescent="0.25">
      <c r="A82" s="282" t="s">
        <v>243</v>
      </c>
      <c r="B82" s="281" t="s">
        <v>4</v>
      </c>
      <c r="C82" s="486">
        <v>5000</v>
      </c>
      <c r="D82" s="197">
        <v>5000</v>
      </c>
      <c r="E82" s="197">
        <v>5000</v>
      </c>
      <c r="F82" s="278">
        <v>5000</v>
      </c>
      <c r="G82" s="278"/>
    </row>
    <row r="83" spans="1:7" s="3" customFormat="1" ht="15.6" x14ac:dyDescent="0.25">
      <c r="A83" s="282" t="s">
        <v>244</v>
      </c>
      <c r="B83" s="281" t="s">
        <v>5</v>
      </c>
      <c r="C83" s="486">
        <v>50000</v>
      </c>
      <c r="D83" s="197">
        <v>50000</v>
      </c>
      <c r="E83" s="197">
        <v>50000</v>
      </c>
      <c r="F83" s="278">
        <v>50000</v>
      </c>
      <c r="G83" s="278"/>
    </row>
    <row r="84" spans="1:7" s="3" customFormat="1" ht="15.6" x14ac:dyDescent="0.25">
      <c r="A84" s="282" t="s">
        <v>245</v>
      </c>
      <c r="B84" s="281" t="s">
        <v>247</v>
      </c>
      <c r="C84" s="486">
        <v>130000</v>
      </c>
      <c r="D84" s="197">
        <v>130000</v>
      </c>
      <c r="E84" s="197">
        <v>80000</v>
      </c>
      <c r="F84" s="278">
        <v>300000</v>
      </c>
      <c r="G84" s="278"/>
    </row>
    <row r="85" spans="1:7" s="3" customFormat="1" ht="15.6" x14ac:dyDescent="0.25">
      <c r="A85" s="282" t="s">
        <v>249</v>
      </c>
      <c r="B85" s="281" t="s">
        <v>250</v>
      </c>
      <c r="C85" s="486">
        <v>300000</v>
      </c>
      <c r="D85" s="197">
        <v>400000</v>
      </c>
      <c r="E85" s="197">
        <v>600000</v>
      </c>
      <c r="F85" s="278">
        <v>800000</v>
      </c>
      <c r="G85" s="278"/>
    </row>
    <row r="86" spans="1:7" s="3" customFormat="1" ht="15.6" x14ac:dyDescent="0.25">
      <c r="A86" s="282" t="s">
        <v>251</v>
      </c>
      <c r="B86" s="281" t="s">
        <v>252</v>
      </c>
      <c r="C86" s="486">
        <v>400000</v>
      </c>
      <c r="D86" s="197">
        <v>400000</v>
      </c>
      <c r="E86" s="197">
        <v>300000</v>
      </c>
      <c r="F86" s="278">
        <v>260000</v>
      </c>
      <c r="G86" s="278"/>
    </row>
    <row r="87" spans="1:7" s="1" customFormat="1" ht="15.6" x14ac:dyDescent="0.25">
      <c r="A87" s="283" t="s">
        <v>253</v>
      </c>
      <c r="B87" s="284" t="s">
        <v>254</v>
      </c>
      <c r="C87" s="123">
        <f>SUM(C81:C86)</f>
        <v>1885000</v>
      </c>
      <c r="D87" s="198">
        <f>SUM(D81:D86)</f>
        <v>1985000</v>
      </c>
      <c r="E87" s="198">
        <f>SUM(E81:E86)</f>
        <v>2035000</v>
      </c>
      <c r="F87" s="198">
        <f>SUM(F81:F86)</f>
        <v>2415000</v>
      </c>
      <c r="G87" s="357"/>
    </row>
    <row r="88" spans="1:7" s="3" customFormat="1" ht="15.6" x14ac:dyDescent="0.25">
      <c r="A88" s="282" t="s">
        <v>255</v>
      </c>
      <c r="B88" s="281" t="s">
        <v>256</v>
      </c>
      <c r="C88" s="486">
        <v>80000</v>
      </c>
      <c r="D88" s="197">
        <v>80000</v>
      </c>
      <c r="E88" s="197">
        <v>80000</v>
      </c>
      <c r="F88" s="278">
        <v>25000</v>
      </c>
      <c r="G88" s="278"/>
    </row>
    <row r="89" spans="1:7" s="1" customFormat="1" ht="15.6" x14ac:dyDescent="0.25">
      <c r="A89" s="283" t="s">
        <v>257</v>
      </c>
      <c r="B89" s="284" t="s">
        <v>258</v>
      </c>
      <c r="C89" s="123">
        <f>SUM(C88:C88)</f>
        <v>80000</v>
      </c>
      <c r="D89" s="198">
        <f>SUM(D88:D88)</f>
        <v>80000</v>
      </c>
      <c r="E89" s="198">
        <f>SUM(E88:E88)</f>
        <v>80000</v>
      </c>
      <c r="F89" s="198">
        <f>SUM(F88:F88)</f>
        <v>25000</v>
      </c>
      <c r="G89" s="357"/>
    </row>
    <row r="90" spans="1:7" s="3" customFormat="1" ht="15.6" x14ac:dyDescent="0.25">
      <c r="A90" s="282" t="s">
        <v>259</v>
      </c>
      <c r="B90" s="281" t="s">
        <v>260</v>
      </c>
      <c r="C90" s="486">
        <v>800000</v>
      </c>
      <c r="D90" s="197">
        <v>800000</v>
      </c>
      <c r="E90" s="197">
        <v>700000</v>
      </c>
      <c r="F90" s="278">
        <v>900000</v>
      </c>
      <c r="G90" s="278"/>
    </row>
    <row r="91" spans="1:7" s="3" customFormat="1" ht="15.6" x14ac:dyDescent="0.25">
      <c r="A91" s="282" t="s">
        <v>261</v>
      </c>
      <c r="B91" s="281" t="s">
        <v>262</v>
      </c>
      <c r="C91" s="486">
        <v>0</v>
      </c>
      <c r="D91" s="197">
        <v>0</v>
      </c>
      <c r="E91" s="197">
        <v>0</v>
      </c>
      <c r="F91" s="278">
        <v>0</v>
      </c>
      <c r="G91" s="278"/>
    </row>
    <row r="92" spans="1:7" s="1" customFormat="1" ht="14.4" customHeight="1" x14ac:dyDescent="0.25">
      <c r="A92" s="282" t="s">
        <v>263</v>
      </c>
      <c r="B92" s="281" t="s">
        <v>264</v>
      </c>
      <c r="C92" s="486">
        <v>0</v>
      </c>
      <c r="D92" s="197">
        <v>0</v>
      </c>
      <c r="E92" s="197">
        <v>0</v>
      </c>
      <c r="F92" s="278">
        <v>0</v>
      </c>
      <c r="G92" s="278"/>
    </row>
    <row r="93" spans="1:7" s="3" customFormat="1" ht="13.95" customHeight="1" x14ac:dyDescent="0.25">
      <c r="A93" s="282" t="s">
        <v>265</v>
      </c>
      <c r="B93" s="281" t="s">
        <v>266</v>
      </c>
      <c r="C93" s="486">
        <v>50000</v>
      </c>
      <c r="D93" s="197">
        <v>50000</v>
      </c>
      <c r="E93" s="197">
        <v>50000</v>
      </c>
      <c r="F93" s="278">
        <v>50000</v>
      </c>
      <c r="G93" s="278"/>
    </row>
    <row r="94" spans="1:7" s="1" customFormat="1" ht="15.6" x14ac:dyDescent="0.25">
      <c r="A94" s="283" t="s">
        <v>267</v>
      </c>
      <c r="B94" s="284" t="s">
        <v>268</v>
      </c>
      <c r="C94" s="123">
        <f>SUM(C90:C93)</f>
        <v>850000</v>
      </c>
      <c r="D94" s="492">
        <f>SUM(D90:D93)</f>
        <v>850000</v>
      </c>
      <c r="E94" s="492">
        <f>SUM(E90:E93)</f>
        <v>750000</v>
      </c>
      <c r="F94" s="492">
        <f>SUM(F90:F93)</f>
        <v>950000</v>
      </c>
      <c r="G94" s="252"/>
    </row>
    <row r="95" spans="1:7" s="3" customFormat="1" ht="15.6" x14ac:dyDescent="0.25">
      <c r="A95" s="290" t="s">
        <v>269</v>
      </c>
      <c r="B95" s="291" t="s">
        <v>37</v>
      </c>
      <c r="C95" s="379">
        <f>(C77+C80+C87+C89+C94)</f>
        <v>4465000</v>
      </c>
      <c r="D95" s="493">
        <f>(D77+D80+D87+D89+D94)</f>
        <v>4465000</v>
      </c>
      <c r="E95" s="493">
        <f>(E77+E80+E87+E89+E94)</f>
        <v>4415000</v>
      </c>
      <c r="F95" s="493">
        <f>(F77+F80+F87+F89+F94)</f>
        <v>5340000</v>
      </c>
      <c r="G95" s="257"/>
    </row>
    <row r="96" spans="1:7" ht="13.8" thickBot="1" x14ac:dyDescent="0.3"/>
    <row r="97" spans="1:7" s="3" customFormat="1" ht="19.95" customHeight="1" thickBot="1" x14ac:dyDescent="0.3">
      <c r="A97" s="425" t="s">
        <v>269</v>
      </c>
      <c r="B97" s="426" t="s">
        <v>490</v>
      </c>
      <c r="C97" s="203">
        <f>C26+C49+C72+C95</f>
        <v>90505000</v>
      </c>
      <c r="D97" s="203">
        <f>D26+D49+D72+D95</f>
        <v>77072432</v>
      </c>
      <c r="E97" s="203">
        <f>E26+E49+E72+E95</f>
        <v>75250000</v>
      </c>
      <c r="F97" s="203">
        <f>F26+F49+F72+F95</f>
        <v>85425000</v>
      </c>
      <c r="G97" s="204"/>
    </row>
  </sheetData>
  <mergeCells count="6">
    <mergeCell ref="A51:B51"/>
    <mergeCell ref="A74:B74"/>
    <mergeCell ref="A1:G1"/>
    <mergeCell ref="A2:G2"/>
    <mergeCell ref="A4:B4"/>
    <mergeCell ref="A28:B28"/>
  </mergeCells>
  <printOptions horizontalCentered="1" verticalCentered="1"/>
  <pageMargins left="0.11811023622047245" right="0.11811023622047245" top="0.39370078740157483" bottom="0.39370078740157483" header="0.31496062992125984" footer="0.31496062992125984"/>
  <pageSetup paperSize="9" scale="53" orientation="portrait" r:id="rId1"/>
  <headerFooter>
    <oddHeader>&amp;R3./b sz. melléklet
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18</vt:i4>
      </vt:variant>
    </vt:vector>
  </HeadingPairs>
  <TitlesOfParts>
    <vt:vector size="18" baseType="lpstr">
      <vt:lpstr>1).Bevételek összesen</vt:lpstr>
      <vt:lpstr>1a).Normatíva</vt:lpstr>
      <vt:lpstr>1b).Működési bevétel int.</vt:lpstr>
      <vt:lpstr>1c).Beruházás felújítás</vt:lpstr>
      <vt:lpstr>2).Bevétel intézmény</vt:lpstr>
      <vt:lpstr>2a).Köt. műk. bev. intézmény </vt:lpstr>
      <vt:lpstr>3).Kiadások összesen</vt:lpstr>
      <vt:lpstr>3a).Személyi jutt intézmény</vt:lpstr>
      <vt:lpstr>3b).Dologi kiad intézmény</vt:lpstr>
      <vt:lpstr>3c).Dol. önk rész cofog</vt:lpstr>
      <vt:lpstr>4).Kiadás intézmény</vt:lpstr>
      <vt:lpstr>4a).Köt. műk. kia. intézmény</vt:lpstr>
      <vt:lpstr>5).Bevételi ei.telj önk</vt:lpstr>
      <vt:lpstr>6).Kiadási ei telj önk</vt:lpstr>
      <vt:lpstr>7). Ktg. vet. mérleg</vt:lpstr>
      <vt:lpstr>8).Közvetett közvetlen tám.</vt:lpstr>
      <vt:lpstr>9).Több éves kihat. döntések</vt:lpstr>
      <vt:lpstr>10).Adott támogatások</vt:lpstr>
    </vt:vector>
  </TitlesOfParts>
  <Company>office2003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Éva</dc:creator>
  <cp:lastModifiedBy>Istvan</cp:lastModifiedBy>
  <cp:lastPrinted>2020-11-12T08:40:40Z</cp:lastPrinted>
  <dcterms:created xsi:type="dcterms:W3CDTF">2013-01-22T14:12:33Z</dcterms:created>
  <dcterms:modified xsi:type="dcterms:W3CDTF">2020-11-30T16:46:41Z</dcterms:modified>
</cp:coreProperties>
</file>