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tabRatio="803" activeTab="5"/>
  </bookViews>
  <sheets>
    <sheet name="önként2019." sheetId="1" r:id="rId1"/>
    <sheet name="kötelező2019." sheetId="2" r:id="rId2"/>
    <sheet name="önként2019.felh." sheetId="3" r:id="rId3"/>
    <sheet name="kötelező2019.felh." sheetId="4" r:id="rId4"/>
    <sheet name="önkét2019.finansz." sheetId="5" r:id="rId5"/>
    <sheet name="kötelező2019.finansz." sheetId="6" r:id="rId6"/>
  </sheets>
  <definedNames>
    <definedName name="Excel_BuiltIn_Print_Area_321">#REF!</definedName>
    <definedName name="Excel_BuiltIn_Print_Area_331">#REF!</definedName>
    <definedName name="Excel_BuiltIn_Print_Area_6">#REF!</definedName>
    <definedName name="_xlnm.Print_Area" localSheetId="1">'kötelező2019.'!$A$1:$M$45</definedName>
    <definedName name="_xlnm.Print_Area" localSheetId="3">'kötelező2019.felh.'!$A$1:$M$43</definedName>
    <definedName name="_xlnm.Print_Area" localSheetId="5">'kötelező2019.finansz.'!$A$1:$M$10</definedName>
    <definedName name="_xlnm.Print_Area" localSheetId="0">'önként2019.'!$A$1:$L$36</definedName>
    <definedName name="_xlnm.Print_Area" localSheetId="2">'önként2019.felh.'!$A$1:$L$31</definedName>
    <definedName name="_xlnm.Print_Area" localSheetId="4">'önkét2019.finansz.'!$A$1:$L$13</definedName>
  </definedNames>
  <calcPr fullCalcOnLoad="1"/>
</workbook>
</file>

<file path=xl/sharedStrings.xml><?xml version="1.0" encoding="utf-8"?>
<sst xmlns="http://schemas.openxmlformats.org/spreadsheetml/2006/main" count="233" uniqueCount="118">
  <si>
    <t>ezer Ft-ban</t>
  </si>
  <si>
    <t>Általános tartalék</t>
  </si>
  <si>
    <t>Életkezdési támogatás</t>
  </si>
  <si>
    <t>Megnevezés</t>
  </si>
  <si>
    <t>Települési igazgatási</t>
  </si>
  <si>
    <t>Szociális és gyermekjóléti ellátások (segélyek)</t>
  </si>
  <si>
    <t>Közművelődési, tevékenység</t>
  </si>
  <si>
    <t>Bölcsődei ellátás</t>
  </si>
  <si>
    <t>Időskorúak nappali ellátása</t>
  </si>
  <si>
    <t>Szociális étkeztetés</t>
  </si>
  <si>
    <t>Közcélú foglalkoztatás</t>
  </si>
  <si>
    <t>Családsegítő és gyermekjóléti szolgálat</t>
  </si>
  <si>
    <t>Háziorvosi szolgálat</t>
  </si>
  <si>
    <t>Park és zöldterület fenntartás</t>
  </si>
  <si>
    <t>Útfenntartás</t>
  </si>
  <si>
    <t>Egyéb település üzemeltetés</t>
  </si>
  <si>
    <t>Vagyonhasznosítás és kezelés</t>
  </si>
  <si>
    <t>Összesen:</t>
  </si>
  <si>
    <t>Működési célú támogatás</t>
  </si>
  <si>
    <t>Vagyongazd.összefüggő műk.kiadások</t>
  </si>
  <si>
    <t>Egynapos sebészet</t>
  </si>
  <si>
    <t>Képalkotó diag.szolg.</t>
  </si>
  <si>
    <t>Eü.laboratóriumi szolgáltatás</t>
  </si>
  <si>
    <t>Működési célú tartalék</t>
  </si>
  <si>
    <t>Szociális bolt engedm.elsz.</t>
  </si>
  <si>
    <t>Szociális és gyermekjóléti fa.</t>
  </si>
  <si>
    <t>Ügyeleti szolgálat (óra)</t>
  </si>
  <si>
    <t>Közoktatási feladatok működési kiadásai</t>
  </si>
  <si>
    <t>3.számú melléklet</t>
  </si>
  <si>
    <t>4. számú melléklet</t>
  </si>
  <si>
    <t>Járóbeteg szakellátás (napi óra)</t>
  </si>
  <si>
    <t>Foglalkozás-eü. ellátás (napi óra)</t>
  </si>
  <si>
    <t>Gondozók (napi óra)</t>
  </si>
  <si>
    <t>Települési igazgatás</t>
  </si>
  <si>
    <t>Nemzetiségi önkormányzatok támogatása</t>
  </si>
  <si>
    <t>2 Blesz összesen</t>
  </si>
  <si>
    <t>1 Önkormányzat összesen</t>
  </si>
  <si>
    <t>4 Polgármesteri Hivatal összesen</t>
  </si>
  <si>
    <t>5001 Egyesített bölcsődék</t>
  </si>
  <si>
    <t>5002 Egyesített Szociális Intézmény</t>
  </si>
  <si>
    <t>2 BLESZ összesen</t>
  </si>
  <si>
    <t>5003 Játékkal-mesével Óvoda</t>
  </si>
  <si>
    <t>5004 Tesz-vesz Óvoda</t>
  </si>
  <si>
    <t>5005 Bástya Óvoda</t>
  </si>
  <si>
    <t>5006 Balaton Óvoda</t>
  </si>
  <si>
    <t>Pénz-         maradvány fedezete %</t>
  </si>
  <si>
    <t>Állategészségügyi feladatok</t>
  </si>
  <si>
    <t>Közterület felügyeleti kiadások</t>
  </si>
  <si>
    <t>Parkolási feladatok</t>
  </si>
  <si>
    <t>3 Önálló Közterület-felügyelet összesen</t>
  </si>
  <si>
    <t>Parkolási tevékenység tárgyévi kiadásai</t>
  </si>
  <si>
    <t>Jelzőrendszeres házi segítségnyújtás</t>
  </si>
  <si>
    <t>Polgármesteri Hivatal</t>
  </si>
  <si>
    <t>Államigazgatási feladatok</t>
  </si>
  <si>
    <t>Önkorm.műk.kapcs.kiad.</t>
  </si>
  <si>
    <t>Önkorm.műk. kapcs. kiadások</t>
  </si>
  <si>
    <t>Kv.         maradvány</t>
  </si>
  <si>
    <t xml:space="preserve">Állami támogatás </t>
  </si>
  <si>
    <t xml:space="preserve">Állami támogatás fedezete % </t>
  </si>
  <si>
    <t>Állami támogatás</t>
  </si>
  <si>
    <t>Intézm. bevételek fedezete %</t>
  </si>
  <si>
    <t>Saját intézményi bevételek</t>
  </si>
  <si>
    <t xml:space="preserve">Kiadási előirányzat 100% </t>
  </si>
  <si>
    <t>Átvett pe.       fedezete %</t>
  </si>
  <si>
    <t>Önkorm. Hozzájárulás</t>
  </si>
  <si>
    <t>Önkormányzati hozzájárulás fedezete %</t>
  </si>
  <si>
    <t>Kiadási előirányzat 100%</t>
  </si>
  <si>
    <t xml:space="preserve">Intézm.         bevételek fedezete % </t>
  </si>
  <si>
    <t>Állami támogatás fedezete %</t>
  </si>
  <si>
    <t>Átvett pe. + tb.támogatás</t>
  </si>
  <si>
    <t xml:space="preserve">Átvett pe.       fedezete %  </t>
  </si>
  <si>
    <t xml:space="preserve">Önkorm.       hozzájárulás </t>
  </si>
  <si>
    <t xml:space="preserve">Önkormányzati hozzájárulás fedezete % </t>
  </si>
  <si>
    <t>Kv.       Maradvány és betétlekötés megszüntetése</t>
  </si>
  <si>
    <t>Felújítási kiadások</t>
  </si>
  <si>
    <t xml:space="preserve"> áthúzódó kötelezettségek</t>
  </si>
  <si>
    <t xml:space="preserve"> tárgyévi terveztett kiadás</t>
  </si>
  <si>
    <t>Felhalmozási bevételek</t>
  </si>
  <si>
    <t xml:space="preserve">Támogatás és átvett pe. </t>
  </si>
  <si>
    <t>Felhalmozási kiadások</t>
  </si>
  <si>
    <t>Felhalmozási célú pénzeszközátadás</t>
  </si>
  <si>
    <t>Kölcsönnyújtás</t>
  </si>
  <si>
    <t>Felhalmozási célú tartalék</t>
  </si>
  <si>
    <t>Egyesített Szociális Intézmény</t>
  </si>
  <si>
    <t>Játékkal-mesével Óvoda</t>
  </si>
  <si>
    <t>Bástya Óvoda</t>
  </si>
  <si>
    <t>Egyesített Bölcsődék</t>
  </si>
  <si>
    <t>Tesz-vesz Óvoda</t>
  </si>
  <si>
    <t>Balaton Óvoda</t>
  </si>
  <si>
    <t>működési támogatás</t>
  </si>
  <si>
    <t>felhalmozási támogatás</t>
  </si>
  <si>
    <t>ÁH-n belüli megelőlegezés visszafizetése</t>
  </si>
  <si>
    <t>Irányító szervi támogatásként folyó.támogatás</t>
  </si>
  <si>
    <t>Családsegítő és gyermekjóléti központ</t>
  </si>
  <si>
    <t>Egyéb kiegészítő szolgáltatások</t>
  </si>
  <si>
    <t>Házi segítségnyújtás</t>
  </si>
  <si>
    <t>Időskorúak átmeneti ellátása</t>
  </si>
  <si>
    <t>Pszichiátriai betegek közösségi ellátása</t>
  </si>
  <si>
    <t>NEAK fin. +átvett pe.</t>
  </si>
  <si>
    <t>Támogatás ÁH-n belülről</t>
  </si>
  <si>
    <t>tárgyévi tervezett kiadás</t>
  </si>
  <si>
    <t>2020. Működési költségvetés  -  Kötelezően előírt feladatkörök</t>
  </si>
  <si>
    <t>2020. Működési költségvetés -  Önként vállalt feladatkörök</t>
  </si>
  <si>
    <t>Fogorvosi szakellátás</t>
  </si>
  <si>
    <t>Fizikoterápiás szolgáltatás</t>
  </si>
  <si>
    <t>Fogorvosi alapellátás</t>
  </si>
  <si>
    <t>Ifjúságeü.gondozás</t>
  </si>
  <si>
    <t>Család- és nővédelmi eü.gondozás</t>
  </si>
  <si>
    <t>Felhalmozási támogatás</t>
  </si>
  <si>
    <t>Közbiztonság kiadásai</t>
  </si>
  <si>
    <t>Egészségügyi és Szoc.Biz.kiadásai</t>
  </si>
  <si>
    <t>Oktatási Bizottság kiadásai</t>
  </si>
  <si>
    <t>Emberi jogi Nemz. és Egyházügyi Biz.</t>
  </si>
  <si>
    <t>Nemzetiségi Önkorm.kiadásai</t>
  </si>
  <si>
    <t>2020. Felhalmozási költségvetés -  Önként vállalt feladatkörök</t>
  </si>
  <si>
    <t>2020. Felhalmozási költségvetés  -  Kötelezően előírt feladatkörök</t>
  </si>
  <si>
    <t>2020. Finanszírozási kiadások -  Önként vállalt feladatkörök</t>
  </si>
  <si>
    <t>2020. Finanszírozási kiadások  -  Kötelezően előírt feladatkörök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</si>
</sst>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0.0%"/>
    <numFmt numFmtId="168" formatCode="_-* #,##0.000\ _F_t_-;\-* #,##0.000\ _F_t_-;_-* &quot;-&quot;??\ _F_t_-;_-@_-"/>
    <numFmt numFmtId="169" formatCode="_-* #,##0.0\ _F_t_-;\-* #,##0.0\ _F_t_-;_-* &quot;-&quot;??\ _F_t_-;_-@_-"/>
    <numFmt numFmtId="170" formatCode="_-* #,##0\ _F_t_-;\-* #,##0\ _F_t_-;_-* &quot;-&quot;??\ _F_t_-;_-@_-"/>
    <numFmt numFmtId="171" formatCode="_-* #,##0.0000\ _F_t_-;\-* #,##0.0000\ _F_t_-;_-* &quot;-&quot;??\ _F_t_-;_-@_-"/>
    <numFmt numFmtId="172" formatCode="0.000"/>
    <numFmt numFmtId="173" formatCode="0.0000"/>
    <numFmt numFmtId="174" formatCode="#,##0.00\ _F_t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</numFmts>
  <fonts count="4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16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shrinkToFit="1"/>
    </xf>
    <xf numFmtId="3" fontId="10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3" fillId="0" borderId="12" xfId="0" applyNumberFormat="1" applyFon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 horizontal="right"/>
    </xf>
    <xf numFmtId="2" fontId="3" fillId="0" borderId="13" xfId="0" applyNumberFormat="1" applyFont="1" applyFill="1" applyBorder="1" applyAlignment="1">
      <alignment horizontal="right"/>
    </xf>
    <xf numFmtId="2" fontId="3" fillId="0" borderId="14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9" fillId="0" borderId="16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 horizontal="right"/>
    </xf>
    <xf numFmtId="0" fontId="12" fillId="0" borderId="15" xfId="0" applyFont="1" applyFill="1" applyBorder="1" applyAlignment="1">
      <alignment shrinkToFit="1"/>
    </xf>
    <xf numFmtId="2" fontId="9" fillId="0" borderId="16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3" fontId="10" fillId="0" borderId="18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 horizontal="right"/>
    </xf>
    <xf numFmtId="2" fontId="3" fillId="0" borderId="18" xfId="0" applyNumberFormat="1" applyFont="1" applyFill="1" applyBorder="1" applyAlignment="1">
      <alignment horizontal="right"/>
    </xf>
    <xf numFmtId="2" fontId="3" fillId="0" borderId="19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9" fillId="0" borderId="1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shrinkToFit="1"/>
    </xf>
    <xf numFmtId="2" fontId="3" fillId="0" borderId="17" xfId="0" applyNumberFormat="1" applyFont="1" applyFill="1" applyBorder="1" applyAlignment="1">
      <alignment horizontal="right"/>
    </xf>
    <xf numFmtId="2" fontId="3" fillId="0" borderId="21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6" fontId="2" fillId="0" borderId="2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" fontId="9" fillId="0" borderId="16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4" fontId="0" fillId="0" borderId="0" xfId="0" applyNumberForma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right"/>
    </xf>
    <xf numFmtId="2" fontId="7" fillId="0" borderId="0" xfId="0" applyNumberFormat="1" applyFont="1" applyFill="1" applyAlignment="1">
      <alignment horizontal="righ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4" fontId="9" fillId="0" borderId="22" xfId="0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2" fillId="0" borderId="10" xfId="0" applyFont="1" applyFill="1" applyBorder="1" applyAlignment="1">
      <alignment shrinkToFit="1"/>
    </xf>
    <xf numFmtId="0" fontId="12" fillId="0" borderId="24" xfId="0" applyFont="1" applyFill="1" applyBorder="1" applyAlignment="1">
      <alignment shrinkToFit="1"/>
    </xf>
    <xf numFmtId="0" fontId="12" fillId="0" borderId="25" xfId="0" applyFont="1" applyFill="1" applyBorder="1" applyAlignment="1">
      <alignment shrinkToFit="1"/>
    </xf>
    <xf numFmtId="174" fontId="10" fillId="0" borderId="13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0" fontId="12" fillId="0" borderId="26" xfId="0" applyFont="1" applyFill="1" applyBorder="1" applyAlignment="1">
      <alignment shrinkToFit="1"/>
    </xf>
    <xf numFmtId="174" fontId="9" fillId="0" borderId="16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 horizontal="right"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4" fontId="0" fillId="0" borderId="16" xfId="0" applyNumberFormat="1" applyFill="1" applyBorder="1" applyAlignment="1">
      <alignment horizontal="right"/>
    </xf>
    <xf numFmtId="3" fontId="2" fillId="0" borderId="16" xfId="0" applyNumberFormat="1" applyFont="1" applyFill="1" applyBorder="1" applyAlignment="1">
      <alignment/>
    </xf>
    <xf numFmtId="4" fontId="0" fillId="0" borderId="22" xfId="0" applyNumberFormat="1" applyFill="1" applyBorder="1" applyAlignment="1">
      <alignment/>
    </xf>
    <xf numFmtId="3" fontId="1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8" fillId="0" borderId="23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3" fontId="10" fillId="0" borderId="18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" fontId="9" fillId="0" borderId="16" xfId="0" applyNumberFormat="1" applyFont="1" applyFill="1" applyBorder="1" applyAlignment="1">
      <alignment/>
    </xf>
    <xf numFmtId="2" fontId="9" fillId="0" borderId="16" xfId="0" applyNumberFormat="1" applyFont="1" applyFill="1" applyBorder="1" applyAlignment="1">
      <alignment/>
    </xf>
    <xf numFmtId="2" fontId="9" fillId="0" borderId="22" xfId="0" applyNumberFormat="1" applyFont="1" applyFill="1" applyBorder="1" applyAlignment="1">
      <alignment/>
    </xf>
    <xf numFmtId="0" fontId="9" fillId="0" borderId="15" xfId="0" applyFont="1" applyFill="1" applyBorder="1" applyAlignment="1">
      <alignment shrinkToFit="1"/>
    </xf>
    <xf numFmtId="3" fontId="0" fillId="0" borderId="0" xfId="0" applyNumberFormat="1" applyFont="1" applyFill="1" applyAlignment="1">
      <alignment/>
    </xf>
    <xf numFmtId="4" fontId="3" fillId="0" borderId="18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4" fontId="9" fillId="0" borderId="16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center" vertical="center"/>
    </xf>
    <xf numFmtId="3" fontId="10" fillId="0" borderId="27" xfId="0" applyNumberFormat="1" applyFont="1" applyFill="1" applyBorder="1" applyAlignment="1">
      <alignment/>
    </xf>
    <xf numFmtId="0" fontId="3" fillId="0" borderId="25" xfId="0" applyFont="1" applyFill="1" applyBorder="1" applyAlignment="1">
      <alignment shrinkToFit="1"/>
    </xf>
    <xf numFmtId="3" fontId="12" fillId="0" borderId="16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3" fontId="10" fillId="0" borderId="17" xfId="0" applyNumberFormat="1" applyFont="1" applyFill="1" applyBorder="1" applyAlignment="1">
      <alignment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 horizontal="right"/>
    </xf>
    <xf numFmtId="2" fontId="9" fillId="0" borderId="28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horizontal="right"/>
    </xf>
    <xf numFmtId="3" fontId="9" fillId="0" borderId="18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10" fillId="0" borderId="27" xfId="0" applyNumberFormat="1" applyFont="1" applyFill="1" applyBorder="1" applyAlignment="1">
      <alignment/>
    </xf>
    <xf numFmtId="3" fontId="9" fillId="0" borderId="27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2" fontId="9" fillId="0" borderId="30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3" fontId="9" fillId="0" borderId="15" xfId="0" applyNumberFormat="1" applyFont="1" applyFill="1" applyBorder="1" applyAlignment="1">
      <alignment/>
    </xf>
    <xf numFmtId="4" fontId="9" fillId="0" borderId="15" xfId="0" applyNumberFormat="1" applyFont="1" applyFill="1" applyBorder="1" applyAlignment="1">
      <alignment horizontal="right"/>
    </xf>
    <xf numFmtId="4" fontId="9" fillId="0" borderId="15" xfId="0" applyNumberFormat="1" applyFont="1" applyFill="1" applyBorder="1" applyAlignment="1">
      <alignment/>
    </xf>
    <xf numFmtId="0" fontId="12" fillId="0" borderId="31" xfId="0" applyFont="1" applyFill="1" applyBorder="1" applyAlignment="1">
      <alignment shrinkToFit="1"/>
    </xf>
    <xf numFmtId="0" fontId="3" fillId="0" borderId="32" xfId="0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0" fontId="12" fillId="0" borderId="20" xfId="0" applyFont="1" applyFill="1" applyBorder="1" applyAlignment="1">
      <alignment shrinkToFit="1"/>
    </xf>
    <xf numFmtId="3" fontId="9" fillId="0" borderId="28" xfId="0" applyNumberFormat="1" applyFont="1" applyFill="1" applyBorder="1" applyAlignment="1">
      <alignment/>
    </xf>
    <xf numFmtId="4" fontId="9" fillId="0" borderId="2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4" fontId="9" fillId="0" borderId="29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4" fontId="9" fillId="0" borderId="21" xfId="0" applyNumberFormat="1" applyFont="1" applyFill="1" applyBorder="1" applyAlignment="1">
      <alignment/>
    </xf>
    <xf numFmtId="0" fontId="3" fillId="0" borderId="10" xfId="0" applyFont="1" applyFill="1" applyBorder="1" applyAlignment="1">
      <alignment shrinkToFit="1"/>
    </xf>
    <xf numFmtId="3" fontId="3" fillId="0" borderId="0" xfId="0" applyNumberFormat="1" applyFont="1" applyFill="1" applyAlignment="1">
      <alignment horizontal="right"/>
    </xf>
    <xf numFmtId="3" fontId="2" fillId="0" borderId="23" xfId="0" applyNumberFormat="1" applyFont="1" applyFill="1" applyBorder="1" applyAlignment="1">
      <alignment horizontal="right"/>
    </xf>
    <xf numFmtId="3" fontId="9" fillId="0" borderId="15" xfId="0" applyNumberFormat="1" applyFont="1" applyFill="1" applyBorder="1" applyAlignment="1">
      <alignment horizontal="center" vertical="center"/>
    </xf>
    <xf numFmtId="3" fontId="9" fillId="0" borderId="22" xfId="0" applyNumberFormat="1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shrinkToFit="1"/>
    </xf>
    <xf numFmtId="3" fontId="3" fillId="0" borderId="14" xfId="0" applyNumberFormat="1" applyFont="1" applyFill="1" applyBorder="1" applyAlignment="1">
      <alignment/>
    </xf>
    <xf numFmtId="3" fontId="9" fillId="0" borderId="2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shrinkToFit="1"/>
    </xf>
    <xf numFmtId="3" fontId="3" fillId="0" borderId="12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 shrinkToFit="1"/>
    </xf>
    <xf numFmtId="3" fontId="3" fillId="0" borderId="20" xfId="0" applyNumberFormat="1" applyFont="1" applyFill="1" applyBorder="1" applyAlignment="1">
      <alignment shrinkToFit="1"/>
    </xf>
    <xf numFmtId="3" fontId="3" fillId="0" borderId="21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shrinkToFit="1"/>
    </xf>
    <xf numFmtId="3" fontId="12" fillId="0" borderId="22" xfId="0" applyNumberFormat="1" applyFont="1" applyFill="1" applyBorder="1" applyAlignment="1">
      <alignment/>
    </xf>
    <xf numFmtId="3" fontId="9" fillId="0" borderId="15" xfId="0" applyNumberFormat="1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26" xfId="0" applyFont="1" applyFill="1" applyBorder="1" applyAlignment="1">
      <alignment shrinkToFit="1"/>
    </xf>
    <xf numFmtId="3" fontId="12" fillId="0" borderId="15" xfId="0" applyNumberFormat="1" applyFont="1" applyFill="1" applyBorder="1" applyAlignment="1">
      <alignment shrinkToFit="1"/>
    </xf>
    <xf numFmtId="3" fontId="3" fillId="0" borderId="25" xfId="0" applyNumberFormat="1" applyFont="1" applyFill="1" applyBorder="1" applyAlignment="1">
      <alignment shrinkToFit="1"/>
    </xf>
    <xf numFmtId="0" fontId="10" fillId="0" borderId="25" xfId="0" applyFont="1" applyFill="1" applyBorder="1" applyAlignment="1">
      <alignment shrinkToFit="1"/>
    </xf>
    <xf numFmtId="3" fontId="12" fillId="0" borderId="25" xfId="0" applyNumberFormat="1" applyFont="1" applyFill="1" applyBorder="1" applyAlignment="1">
      <alignment shrinkToFit="1"/>
    </xf>
    <xf numFmtId="3" fontId="12" fillId="0" borderId="18" xfId="0" applyNumberFormat="1" applyFont="1" applyFill="1" applyBorder="1" applyAlignment="1">
      <alignment horizontal="right"/>
    </xf>
    <xf numFmtId="3" fontId="12" fillId="0" borderId="19" xfId="0" applyNumberFormat="1" applyFont="1" applyFill="1" applyBorder="1" applyAlignment="1">
      <alignment/>
    </xf>
    <xf numFmtId="3" fontId="12" fillId="0" borderId="33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/>
    </xf>
    <xf numFmtId="174" fontId="10" fillId="0" borderId="18" xfId="0" applyNumberFormat="1" applyFont="1" applyFill="1" applyBorder="1" applyAlignment="1">
      <alignment horizontal="right"/>
    </xf>
    <xf numFmtId="174" fontId="10" fillId="0" borderId="17" xfId="0" applyNumberFormat="1" applyFont="1" applyFill="1" applyBorder="1" applyAlignment="1">
      <alignment horizontal="right"/>
    </xf>
    <xf numFmtId="4" fontId="3" fillId="0" borderId="13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10" fillId="0" borderId="24" xfId="0" applyNumberFormat="1" applyFont="1" applyFill="1" applyBorder="1" applyAlignment="1">
      <alignment shrinkToFit="1"/>
    </xf>
    <xf numFmtId="3" fontId="10" fillId="0" borderId="13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0" fillId="0" borderId="26" xfId="0" applyNumberFormat="1" applyFont="1" applyFill="1" applyBorder="1" applyAlignment="1">
      <alignment shrinkToFit="1"/>
    </xf>
    <xf numFmtId="3" fontId="10" fillId="0" borderId="27" xfId="0" applyNumberFormat="1" applyFont="1" applyFill="1" applyBorder="1" applyAlignment="1">
      <alignment horizontal="right"/>
    </xf>
    <xf numFmtId="3" fontId="3" fillId="0" borderId="27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 horizontal="right"/>
    </xf>
    <xf numFmtId="3" fontId="3" fillId="0" borderId="30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 shrinkToFit="1"/>
    </xf>
    <xf numFmtId="3" fontId="10" fillId="0" borderId="28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 horizontal="right"/>
    </xf>
    <xf numFmtId="3" fontId="3" fillId="0" borderId="29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 vertical="justify"/>
    </xf>
    <xf numFmtId="3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" vertical="justify"/>
    </xf>
    <xf numFmtId="174" fontId="10" fillId="0" borderId="11" xfId="0" applyNumberFormat="1" applyFont="1" applyFill="1" applyBorder="1" applyAlignment="1">
      <alignment horizontal="right"/>
    </xf>
    <xf numFmtId="174" fontId="10" fillId="0" borderId="13" xfId="0" applyNumberFormat="1" applyFont="1" applyFill="1" applyBorder="1" applyAlignment="1">
      <alignment horizontal="right"/>
    </xf>
    <xf numFmtId="4" fontId="9" fillId="0" borderId="16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shrinkToFit="1"/>
    </xf>
    <xf numFmtId="0" fontId="10" fillId="0" borderId="24" xfId="0" applyFont="1" applyFill="1" applyBorder="1" applyAlignment="1">
      <alignment shrinkToFit="1"/>
    </xf>
    <xf numFmtId="0" fontId="10" fillId="0" borderId="26" xfId="0" applyFont="1" applyFill="1" applyBorder="1" applyAlignment="1">
      <alignment shrinkToFit="1"/>
    </xf>
    <xf numFmtId="174" fontId="10" fillId="0" borderId="27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3" fillId="0" borderId="30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12" fillId="0" borderId="35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2" fillId="0" borderId="25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3" fontId="9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/>
    </xf>
    <xf numFmtId="2" fontId="9" fillId="0" borderId="14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19" xfId="0" applyNumberFormat="1" applyFont="1" applyFill="1" applyBorder="1" applyAlignment="1">
      <alignment/>
    </xf>
    <xf numFmtId="2" fontId="9" fillId="0" borderId="17" xfId="0" applyNumberFormat="1" applyFont="1" applyFill="1" applyBorder="1" applyAlignment="1">
      <alignment/>
    </xf>
    <xf numFmtId="2" fontId="9" fillId="0" borderId="21" xfId="0" applyNumberFormat="1" applyFont="1" applyFill="1" applyBorder="1" applyAlignment="1">
      <alignment/>
    </xf>
    <xf numFmtId="0" fontId="12" fillId="0" borderId="15" xfId="0" applyFont="1" applyFill="1" applyBorder="1" applyAlignment="1">
      <alignment shrinkToFit="1"/>
    </xf>
    <xf numFmtId="2" fontId="10" fillId="0" borderId="13" xfId="0" applyNumberFormat="1" applyFont="1" applyFill="1" applyBorder="1" applyAlignment="1">
      <alignment horizontal="right"/>
    </xf>
    <xf numFmtId="4" fontId="10" fillId="0" borderId="13" xfId="0" applyNumberFormat="1" applyFont="1" applyFill="1" applyBorder="1" applyAlignment="1">
      <alignment horizontal="right"/>
    </xf>
    <xf numFmtId="2" fontId="10" fillId="0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2" fontId="10" fillId="0" borderId="27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4" fontId="3" fillId="0" borderId="28" xfId="0" applyNumberFormat="1" applyFont="1" applyFill="1" applyBorder="1" applyAlignment="1">
      <alignment horizontal="right"/>
    </xf>
    <xf numFmtId="2" fontId="3" fillId="0" borderId="29" xfId="0" applyNumberFormat="1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zoomScalePageLayoutView="0" workbookViewId="0" topLeftCell="A22">
      <selection activeCell="A39" sqref="A39:IV46"/>
    </sheetView>
  </sheetViews>
  <sheetFormatPr defaultColWidth="9.00390625" defaultRowHeight="12.75"/>
  <cols>
    <col min="1" max="1" width="25.00390625" style="1" customWidth="1"/>
    <col min="2" max="2" width="10.125" style="1" customWidth="1"/>
    <col min="3" max="3" width="10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9.875" style="1" customWidth="1"/>
    <col min="10" max="10" width="9.75390625" style="1" customWidth="1"/>
    <col min="11" max="11" width="11.75390625" style="1" customWidth="1"/>
    <col min="12" max="12" width="13.375" style="1" customWidth="1"/>
    <col min="13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192" t="s">
        <v>29</v>
      </c>
      <c r="L1" s="192"/>
    </row>
    <row r="2" spans="1:12" ht="12.75">
      <c r="A2" s="193" t="s">
        <v>102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66</v>
      </c>
      <c r="C5" s="44" t="s">
        <v>61</v>
      </c>
      <c r="D5" s="45" t="s">
        <v>67</v>
      </c>
      <c r="E5" s="44" t="s">
        <v>57</v>
      </c>
      <c r="F5" s="45" t="s">
        <v>68</v>
      </c>
      <c r="G5" s="44" t="s">
        <v>69</v>
      </c>
      <c r="H5" s="45" t="s">
        <v>70</v>
      </c>
      <c r="I5" s="45" t="s">
        <v>73</v>
      </c>
      <c r="J5" s="45" t="s">
        <v>45</v>
      </c>
      <c r="K5" s="46" t="s">
        <v>71</v>
      </c>
      <c r="L5" s="53" t="s">
        <v>72</v>
      </c>
    </row>
    <row r="6" spans="1:12" ht="12.75">
      <c r="A6" s="14" t="s">
        <v>18</v>
      </c>
      <c r="B6" s="15">
        <f>86113+14796+28540+4000+319376+409+79459+4023+200+1455+543+2970+1400+1700+907+46197+4700</f>
        <v>596788</v>
      </c>
      <c r="C6" s="15"/>
      <c r="D6" s="198">
        <f aca="true" t="shared" si="0" ref="D6:D20">SUM(C6/B6)*100</f>
        <v>0</v>
      </c>
      <c r="E6" s="16">
        <v>90990</v>
      </c>
      <c r="F6" s="17">
        <f aca="true" t="shared" si="1" ref="F6:F19">SUM(E6/B6)*100</f>
        <v>15.246620240353359</v>
      </c>
      <c r="G6" s="16">
        <f>90990-90990</f>
        <v>0</v>
      </c>
      <c r="H6" s="17">
        <f aca="true" t="shared" si="2" ref="H6:H20">SUM(G6/B6*100)</f>
        <v>0</v>
      </c>
      <c r="I6" s="16">
        <f>409+4023+345</f>
        <v>4777</v>
      </c>
      <c r="J6" s="17">
        <f>SUM(I6/B6*100)</f>
        <v>0.8004517517108253</v>
      </c>
      <c r="K6" s="20">
        <f>SUM(B6-C6-E6-G6-I6)</f>
        <v>501021</v>
      </c>
      <c r="L6" s="18">
        <f aca="true" t="shared" si="3" ref="L6:L19">SUM(K6/B6)*100</f>
        <v>83.95292800793581</v>
      </c>
    </row>
    <row r="7" spans="1:12" ht="12.75">
      <c r="A7" s="14" t="s">
        <v>19</v>
      </c>
      <c r="B7" s="19">
        <f>4082512-'kötelező2019.'!C11</f>
        <v>1302306</v>
      </c>
      <c r="C7" s="19">
        <f>50800+189+1422+18500+2688+6217</f>
        <v>79816</v>
      </c>
      <c r="D7" s="199">
        <f t="shared" si="0"/>
        <v>6.128820722625865</v>
      </c>
      <c r="E7" s="20"/>
      <c r="F7" s="21">
        <f t="shared" si="1"/>
        <v>0</v>
      </c>
      <c r="G7" s="20"/>
      <c r="H7" s="21">
        <f t="shared" si="2"/>
        <v>0</v>
      </c>
      <c r="I7" s="20"/>
      <c r="J7" s="17">
        <f aca="true" t="shared" si="4" ref="J7:J33">SUM(I7/B7*100)</f>
        <v>0</v>
      </c>
      <c r="K7" s="20">
        <f aca="true" t="shared" si="5" ref="K7:K19">SUM(B7-C7-E7-G7-I7)</f>
        <v>1222490</v>
      </c>
      <c r="L7" s="22">
        <f t="shared" si="3"/>
        <v>93.87117927737414</v>
      </c>
    </row>
    <row r="8" spans="1:12" ht="12.75">
      <c r="A8" s="14" t="s">
        <v>1</v>
      </c>
      <c r="B8" s="19">
        <f>100000-1300-40199</f>
        <v>58501</v>
      </c>
      <c r="C8" s="19"/>
      <c r="D8" s="199">
        <f t="shared" si="0"/>
        <v>0</v>
      </c>
      <c r="E8" s="20"/>
      <c r="F8" s="21">
        <f t="shared" si="1"/>
        <v>0</v>
      </c>
      <c r="G8" s="20"/>
      <c r="H8" s="21">
        <f t="shared" si="2"/>
        <v>0</v>
      </c>
      <c r="I8" s="20"/>
      <c r="J8" s="17">
        <f t="shared" si="4"/>
        <v>0</v>
      </c>
      <c r="K8" s="20">
        <f t="shared" si="5"/>
        <v>58501</v>
      </c>
      <c r="L8" s="22">
        <f t="shared" si="3"/>
        <v>100</v>
      </c>
    </row>
    <row r="9" spans="1:12" ht="12.75">
      <c r="A9" s="165" t="s">
        <v>23</v>
      </c>
      <c r="B9" s="19">
        <f>839049+2202737+35936+65695-872009-1278940+20524+199870-292013-85637-38000-350-1605-843-192-5474-2625-10740-150-6213-22959-1145-2500-2970-1400-9943+31157-561332</f>
        <v>197928</v>
      </c>
      <c r="C9" s="19"/>
      <c r="D9" s="199">
        <f t="shared" si="0"/>
        <v>0</v>
      </c>
      <c r="E9" s="20">
        <f>85601+12169+7245</f>
        <v>105015</v>
      </c>
      <c r="F9" s="21">
        <f t="shared" si="1"/>
        <v>53.057172305080634</v>
      </c>
      <c r="G9" s="20"/>
      <c r="H9" s="21">
        <f t="shared" si="2"/>
        <v>0</v>
      </c>
      <c r="I9" s="20">
        <f>100000+3192638</f>
        <v>3292638</v>
      </c>
      <c r="J9" s="17">
        <f t="shared" si="4"/>
        <v>1663.5534133624346</v>
      </c>
      <c r="K9" s="20">
        <f t="shared" si="5"/>
        <v>-3199725</v>
      </c>
      <c r="L9" s="22">
        <f t="shared" si="3"/>
        <v>-1616.6105856675156</v>
      </c>
    </row>
    <row r="10" spans="1:12" ht="12.75">
      <c r="A10" s="165" t="s">
        <v>55</v>
      </c>
      <c r="B10" s="116">
        <f>1497217-'kötelező2019.'!C12-B36</f>
        <v>1125888</v>
      </c>
      <c r="C10" s="19">
        <v>11905</v>
      </c>
      <c r="D10" s="199">
        <f t="shared" si="0"/>
        <v>1.057387590950432</v>
      </c>
      <c r="E10" s="20"/>
      <c r="F10" s="21">
        <f t="shared" si="1"/>
        <v>0</v>
      </c>
      <c r="G10" s="20">
        <v>700</v>
      </c>
      <c r="H10" s="21">
        <f t="shared" si="2"/>
        <v>0.06217314688494771</v>
      </c>
      <c r="I10" s="20">
        <v>14417</v>
      </c>
      <c r="J10" s="17">
        <f t="shared" si="4"/>
        <v>1.28050036948613</v>
      </c>
      <c r="K10" s="20">
        <f t="shared" si="5"/>
        <v>1098866</v>
      </c>
      <c r="L10" s="22">
        <f t="shared" si="3"/>
        <v>97.5999388926785</v>
      </c>
    </row>
    <row r="11" spans="1:12" ht="12.75">
      <c r="A11" s="165" t="s">
        <v>15</v>
      </c>
      <c r="B11" s="19">
        <f>724423-'kötelező2019.'!C10</f>
        <v>135684</v>
      </c>
      <c r="C11" s="19"/>
      <c r="D11" s="199">
        <f t="shared" si="0"/>
        <v>0</v>
      </c>
      <c r="E11" s="20">
        <v>0</v>
      </c>
      <c r="F11" s="21">
        <f>SUM(E11/B11)*100</f>
        <v>0</v>
      </c>
      <c r="G11" s="20"/>
      <c r="H11" s="21">
        <f t="shared" si="2"/>
        <v>0</v>
      </c>
      <c r="I11" s="20"/>
      <c r="J11" s="17">
        <f>SUM(I11/B11*100)</f>
        <v>0</v>
      </c>
      <c r="K11" s="20">
        <f>SUM(B11-C11-E11-G11-I11)</f>
        <v>135684</v>
      </c>
      <c r="L11" s="22">
        <f t="shared" si="3"/>
        <v>100</v>
      </c>
    </row>
    <row r="12" spans="1:12" ht="12.75">
      <c r="A12" s="165" t="s">
        <v>2</v>
      </c>
      <c r="B12" s="19">
        <v>15000</v>
      </c>
      <c r="C12" s="19"/>
      <c r="D12" s="199">
        <f t="shared" si="0"/>
        <v>0</v>
      </c>
      <c r="E12" s="20"/>
      <c r="F12" s="21">
        <f t="shared" si="1"/>
        <v>0</v>
      </c>
      <c r="G12" s="20"/>
      <c r="H12" s="21">
        <f t="shared" si="2"/>
        <v>0</v>
      </c>
      <c r="I12" s="20"/>
      <c r="J12" s="17">
        <f t="shared" si="4"/>
        <v>0</v>
      </c>
      <c r="K12" s="20">
        <f t="shared" si="5"/>
        <v>15000</v>
      </c>
      <c r="L12" s="22">
        <f t="shared" si="3"/>
        <v>100</v>
      </c>
    </row>
    <row r="13" spans="1:12" ht="12.75">
      <c r="A13" s="165" t="s">
        <v>24</v>
      </c>
      <c r="B13" s="19">
        <v>66180</v>
      </c>
      <c r="C13" s="19"/>
      <c r="D13" s="199">
        <f t="shared" si="0"/>
        <v>0</v>
      </c>
      <c r="E13" s="20"/>
      <c r="F13" s="21">
        <f t="shared" si="1"/>
        <v>0</v>
      </c>
      <c r="G13" s="20"/>
      <c r="H13" s="21">
        <f t="shared" si="2"/>
        <v>0</v>
      </c>
      <c r="I13" s="20"/>
      <c r="J13" s="17">
        <f t="shared" si="4"/>
        <v>0</v>
      </c>
      <c r="K13" s="20">
        <f t="shared" si="5"/>
        <v>66180</v>
      </c>
      <c r="L13" s="22">
        <f t="shared" si="3"/>
        <v>100</v>
      </c>
    </row>
    <row r="14" spans="1:12" ht="12.75">
      <c r="A14" s="165" t="s">
        <v>25</v>
      </c>
      <c r="B14" s="19">
        <f>597581-'kötelező2019.'!C6</f>
        <v>533421</v>
      </c>
      <c r="C14" s="19"/>
      <c r="D14" s="199">
        <f t="shared" si="0"/>
        <v>0</v>
      </c>
      <c r="E14" s="20"/>
      <c r="F14" s="21">
        <f t="shared" si="1"/>
        <v>0</v>
      </c>
      <c r="G14" s="20"/>
      <c r="H14" s="21">
        <f t="shared" si="2"/>
        <v>0</v>
      </c>
      <c r="I14" s="20"/>
      <c r="J14" s="17">
        <f t="shared" si="4"/>
        <v>0</v>
      </c>
      <c r="K14" s="20">
        <f t="shared" si="5"/>
        <v>533421</v>
      </c>
      <c r="L14" s="22">
        <f t="shared" si="3"/>
        <v>100</v>
      </c>
    </row>
    <row r="15" spans="1:12" ht="12.75">
      <c r="A15" s="165" t="s">
        <v>109</v>
      </c>
      <c r="B15" s="19">
        <f>18855+38150+16777-38000</f>
        <v>35782</v>
      </c>
      <c r="C15" s="19"/>
      <c r="D15" s="199">
        <f t="shared" si="0"/>
        <v>0</v>
      </c>
      <c r="E15" s="20"/>
      <c r="F15" s="21">
        <f t="shared" si="1"/>
        <v>0</v>
      </c>
      <c r="G15" s="20"/>
      <c r="H15" s="21">
        <f t="shared" si="2"/>
        <v>0</v>
      </c>
      <c r="I15" s="20"/>
      <c r="J15" s="17">
        <f t="shared" si="4"/>
        <v>0</v>
      </c>
      <c r="K15" s="20">
        <f t="shared" si="5"/>
        <v>35782</v>
      </c>
      <c r="L15" s="22">
        <f t="shared" si="3"/>
        <v>100</v>
      </c>
    </row>
    <row r="16" spans="1:12" ht="12.75">
      <c r="A16" s="165" t="s">
        <v>110</v>
      </c>
      <c r="B16" s="19">
        <v>585</v>
      </c>
      <c r="C16" s="19"/>
      <c r="D16" s="199">
        <f t="shared" si="0"/>
        <v>0</v>
      </c>
      <c r="E16" s="20"/>
      <c r="F16" s="21">
        <f t="shared" si="1"/>
        <v>0</v>
      </c>
      <c r="G16" s="20"/>
      <c r="H16" s="21">
        <f t="shared" si="2"/>
        <v>0</v>
      </c>
      <c r="I16" s="20">
        <v>585</v>
      </c>
      <c r="J16" s="17">
        <f t="shared" si="4"/>
        <v>100</v>
      </c>
      <c r="K16" s="20">
        <f t="shared" si="5"/>
        <v>0</v>
      </c>
      <c r="L16" s="22">
        <f t="shared" si="3"/>
        <v>0</v>
      </c>
    </row>
    <row r="17" spans="1:12" ht="12.75">
      <c r="A17" s="165" t="s">
        <v>111</v>
      </c>
      <c r="B17" s="19">
        <f>85+7889+2700+200</f>
        <v>10874</v>
      </c>
      <c r="C17" s="19"/>
      <c r="D17" s="199">
        <f t="shared" si="0"/>
        <v>0</v>
      </c>
      <c r="E17" s="20"/>
      <c r="F17" s="21">
        <f t="shared" si="1"/>
        <v>0</v>
      </c>
      <c r="G17" s="20"/>
      <c r="H17" s="21">
        <f t="shared" si="2"/>
        <v>0</v>
      </c>
      <c r="I17" s="20">
        <v>85</v>
      </c>
      <c r="J17" s="17">
        <f t="shared" si="4"/>
        <v>0.7816810741217582</v>
      </c>
      <c r="K17" s="20">
        <f t="shared" si="5"/>
        <v>10789</v>
      </c>
      <c r="L17" s="22">
        <f t="shared" si="3"/>
        <v>99.21831892587825</v>
      </c>
    </row>
    <row r="18" spans="1:12" ht="12.75">
      <c r="A18" s="166" t="s">
        <v>112</v>
      </c>
      <c r="B18" s="116">
        <f>200+300+8740+22209+3803+3755</f>
        <v>39007</v>
      </c>
      <c r="C18" s="116"/>
      <c r="D18" s="199">
        <f t="shared" si="0"/>
        <v>0</v>
      </c>
      <c r="E18" s="185"/>
      <c r="F18" s="21">
        <f t="shared" si="1"/>
        <v>0</v>
      </c>
      <c r="G18" s="185"/>
      <c r="H18" s="21">
        <f t="shared" si="2"/>
        <v>0</v>
      </c>
      <c r="I18" s="185">
        <v>200</v>
      </c>
      <c r="J18" s="17">
        <f t="shared" si="4"/>
        <v>0.5127284846309638</v>
      </c>
      <c r="K18" s="20">
        <f t="shared" si="5"/>
        <v>38807</v>
      </c>
      <c r="L18" s="22">
        <f t="shared" si="3"/>
        <v>99.48727151536903</v>
      </c>
    </row>
    <row r="19" spans="1:12" ht="13.5" thickBot="1">
      <c r="A19" s="37" t="s">
        <v>113</v>
      </c>
      <c r="B19" s="25">
        <f>13743+11934</f>
        <v>25677</v>
      </c>
      <c r="C19" s="25"/>
      <c r="D19" s="199">
        <f t="shared" si="0"/>
        <v>0</v>
      </c>
      <c r="E19" s="26"/>
      <c r="F19" s="21">
        <f t="shared" si="1"/>
        <v>0</v>
      </c>
      <c r="G19" s="26"/>
      <c r="H19" s="21">
        <f t="shared" si="2"/>
        <v>0</v>
      </c>
      <c r="I19" s="26"/>
      <c r="J19" s="17">
        <f t="shared" si="4"/>
        <v>0</v>
      </c>
      <c r="K19" s="20">
        <f t="shared" si="5"/>
        <v>25677</v>
      </c>
      <c r="L19" s="22">
        <f t="shared" si="3"/>
        <v>100</v>
      </c>
    </row>
    <row r="20" spans="1:12" s="29" customFormat="1" ht="13.5" thickBot="1">
      <c r="A20" s="27" t="s">
        <v>36</v>
      </c>
      <c r="B20" s="24">
        <f>SUM(B6:B19)</f>
        <v>4143621</v>
      </c>
      <c r="C20" s="24">
        <f>SUM(C6:C14)</f>
        <v>91721</v>
      </c>
      <c r="D20" s="200">
        <f t="shared" si="0"/>
        <v>2.2135470401371165</v>
      </c>
      <c r="E20" s="24">
        <f>SUM(E6:E14)</f>
        <v>196005</v>
      </c>
      <c r="F20" s="55">
        <f>SUM(E20/B20*100)</f>
        <v>4.7302830060953935</v>
      </c>
      <c r="G20" s="24">
        <f>SUM(G6:G14)</f>
        <v>700</v>
      </c>
      <c r="H20" s="28">
        <f t="shared" si="2"/>
        <v>0.01689343692388855</v>
      </c>
      <c r="I20" s="24">
        <f>SUM(I6:I19)</f>
        <v>3312702</v>
      </c>
      <c r="J20" s="28">
        <f t="shared" si="4"/>
        <v>79.94703183519921</v>
      </c>
      <c r="K20" s="24">
        <f>SUM(K6:K19)</f>
        <v>542493</v>
      </c>
      <c r="L20" s="40">
        <f>SUM(K20/B20)*100</f>
        <v>13.092244681644388</v>
      </c>
    </row>
    <row r="21" spans="1:12" ht="12.75">
      <c r="A21" s="201" t="s">
        <v>20</v>
      </c>
      <c r="B21" s="15">
        <v>71344</v>
      </c>
      <c r="C21" s="15">
        <v>139</v>
      </c>
      <c r="D21" s="198">
        <f aca="true" t="shared" si="6" ref="D21:D33">SUM(C21/B21)*100</f>
        <v>0.19483067952455707</v>
      </c>
      <c r="E21" s="181"/>
      <c r="F21" s="17">
        <f aca="true" t="shared" si="7" ref="F21:F33">SUM(E21/B21)*100</f>
        <v>0</v>
      </c>
      <c r="G21" s="181">
        <v>100034</v>
      </c>
      <c r="H21" s="17">
        <f aca="true" t="shared" si="8" ref="H21:H29">SUM(G21/B21*100)</f>
        <v>140.21361291769455</v>
      </c>
      <c r="I21" s="16">
        <v>3</v>
      </c>
      <c r="J21" s="17">
        <f t="shared" si="4"/>
        <v>0.0042049786947746135</v>
      </c>
      <c r="K21" s="16">
        <f aca="true" t="shared" si="9" ref="K21:K28">SUM(B21-C21-E21-G21-I21)</f>
        <v>-28832</v>
      </c>
      <c r="L21" s="18">
        <f aca="true" t="shared" si="10" ref="L21:L32">SUM(K21/B21)*100</f>
        <v>-40.412648575913884</v>
      </c>
    </row>
    <row r="22" spans="1:12" ht="12.75">
      <c r="A22" s="202" t="s">
        <v>30</v>
      </c>
      <c r="B22" s="19">
        <v>1347040</v>
      </c>
      <c r="C22" s="19">
        <v>52704</v>
      </c>
      <c r="D22" s="199">
        <f t="shared" si="6"/>
        <v>3.912578691055945</v>
      </c>
      <c r="E22" s="180">
        <f>1663+327+51+446</f>
        <v>2487</v>
      </c>
      <c r="F22" s="21">
        <f t="shared" si="7"/>
        <v>0.18462703408955933</v>
      </c>
      <c r="G22" s="180">
        <f>712716-1224</f>
        <v>711492</v>
      </c>
      <c r="H22" s="21">
        <f t="shared" si="8"/>
        <v>52.81892148711248</v>
      </c>
      <c r="I22" s="16">
        <f>144995-15790</f>
        <v>129205</v>
      </c>
      <c r="J22" s="17">
        <f t="shared" si="4"/>
        <v>9.591771588074593</v>
      </c>
      <c r="K22" s="16">
        <f t="shared" si="9"/>
        <v>451152</v>
      </c>
      <c r="L22" s="22">
        <f t="shared" si="10"/>
        <v>33.49210119966742</v>
      </c>
    </row>
    <row r="23" spans="1:12" ht="12.75">
      <c r="A23" s="202" t="s">
        <v>103</v>
      </c>
      <c r="B23" s="19">
        <v>21133</v>
      </c>
      <c r="C23" s="19">
        <v>959</v>
      </c>
      <c r="D23" s="199">
        <f t="shared" si="6"/>
        <v>4.537926465717125</v>
      </c>
      <c r="E23" s="180">
        <v>5</v>
      </c>
      <c r="F23" s="21">
        <f t="shared" si="7"/>
        <v>0.02365967917475039</v>
      </c>
      <c r="G23" s="180">
        <v>5959</v>
      </c>
      <c r="H23" s="21">
        <f t="shared" si="8"/>
        <v>28.197605640467515</v>
      </c>
      <c r="I23" s="16"/>
      <c r="J23" s="17">
        <f t="shared" si="4"/>
        <v>0</v>
      </c>
      <c r="K23" s="16">
        <f t="shared" si="9"/>
        <v>14210</v>
      </c>
      <c r="L23" s="22">
        <f t="shared" si="10"/>
        <v>67.24080821464061</v>
      </c>
    </row>
    <row r="24" spans="1:12" ht="12.75">
      <c r="A24" s="202" t="s">
        <v>21</v>
      </c>
      <c r="B24" s="19">
        <v>126525</v>
      </c>
      <c r="C24" s="19">
        <v>17489</v>
      </c>
      <c r="D24" s="199">
        <f t="shared" si="6"/>
        <v>13.822564710531516</v>
      </c>
      <c r="E24" s="180">
        <v>138</v>
      </c>
      <c r="F24" s="21">
        <f t="shared" si="7"/>
        <v>0.10906935388263189</v>
      </c>
      <c r="G24" s="180">
        <v>97394</v>
      </c>
      <c r="H24" s="21">
        <f t="shared" si="8"/>
        <v>76.97609168148587</v>
      </c>
      <c r="I24" s="16">
        <v>10</v>
      </c>
      <c r="J24" s="17">
        <f t="shared" si="4"/>
        <v>0.007903576368306658</v>
      </c>
      <c r="K24" s="16">
        <f t="shared" si="9"/>
        <v>11494</v>
      </c>
      <c r="L24" s="22">
        <f t="shared" si="10"/>
        <v>9.084370677731673</v>
      </c>
    </row>
    <row r="25" spans="1:12" ht="12.75">
      <c r="A25" s="202" t="s">
        <v>22</v>
      </c>
      <c r="B25" s="19">
        <v>62502</v>
      </c>
      <c r="C25" s="19">
        <v>18071</v>
      </c>
      <c r="D25" s="199">
        <f t="shared" si="6"/>
        <v>28.912674794406577</v>
      </c>
      <c r="E25" s="180"/>
      <c r="F25" s="21">
        <f t="shared" si="7"/>
        <v>0</v>
      </c>
      <c r="G25" s="180">
        <v>60552</v>
      </c>
      <c r="H25" s="21">
        <f t="shared" si="8"/>
        <v>96.88009983680523</v>
      </c>
      <c r="I25" s="16">
        <v>5</v>
      </c>
      <c r="J25" s="17">
        <f t="shared" si="4"/>
        <v>0.007999744008191737</v>
      </c>
      <c r="K25" s="16">
        <f t="shared" si="9"/>
        <v>-16126</v>
      </c>
      <c r="L25" s="22">
        <f t="shared" si="10"/>
        <v>-25.800774375219994</v>
      </c>
    </row>
    <row r="26" spans="1:12" ht="12.75">
      <c r="A26" s="202" t="s">
        <v>104</v>
      </c>
      <c r="B26" s="19">
        <v>33698</v>
      </c>
      <c r="C26" s="19"/>
      <c r="D26" s="199">
        <f t="shared" si="6"/>
        <v>0</v>
      </c>
      <c r="E26" s="180">
        <v>8</v>
      </c>
      <c r="F26" s="21">
        <f t="shared" si="7"/>
        <v>0.023740281322333672</v>
      </c>
      <c r="G26" s="180">
        <v>2479</v>
      </c>
      <c r="H26" s="21">
        <f t="shared" si="8"/>
        <v>7.356519674758146</v>
      </c>
      <c r="I26" s="16">
        <v>2</v>
      </c>
      <c r="J26" s="17">
        <f t="shared" si="4"/>
        <v>0.005935070330583418</v>
      </c>
      <c r="K26" s="16">
        <f t="shared" si="9"/>
        <v>31209</v>
      </c>
      <c r="L26" s="22">
        <f t="shared" si="10"/>
        <v>92.61380497358894</v>
      </c>
    </row>
    <row r="27" spans="1:12" ht="12.75">
      <c r="A27" s="202" t="s">
        <v>31</v>
      </c>
      <c r="B27" s="19">
        <v>23502</v>
      </c>
      <c r="C27" s="19">
        <v>21154</v>
      </c>
      <c r="D27" s="199">
        <f t="shared" si="6"/>
        <v>90.00936090545486</v>
      </c>
      <c r="E27" s="180">
        <v>5</v>
      </c>
      <c r="F27" s="21">
        <f t="shared" si="7"/>
        <v>0.02127478512467024</v>
      </c>
      <c r="G27" s="180">
        <v>5115</v>
      </c>
      <c r="H27" s="21">
        <f t="shared" si="8"/>
        <v>21.76410518253766</v>
      </c>
      <c r="I27" s="16">
        <v>6</v>
      </c>
      <c r="J27" s="17">
        <f t="shared" si="4"/>
        <v>0.025529742149604292</v>
      </c>
      <c r="K27" s="16">
        <f t="shared" si="9"/>
        <v>-2778</v>
      </c>
      <c r="L27" s="22">
        <f t="shared" si="10"/>
        <v>-11.820270615266786</v>
      </c>
    </row>
    <row r="28" spans="1:12" ht="13.5" thickBot="1">
      <c r="A28" s="203" t="s">
        <v>32</v>
      </c>
      <c r="B28" s="116">
        <v>109862</v>
      </c>
      <c r="C28" s="116"/>
      <c r="D28" s="204">
        <f t="shared" si="6"/>
        <v>0</v>
      </c>
      <c r="E28" s="184"/>
      <c r="F28" s="205">
        <f t="shared" si="7"/>
        <v>0</v>
      </c>
      <c r="G28" s="184">
        <v>21510</v>
      </c>
      <c r="H28" s="205">
        <f t="shared" si="8"/>
        <v>19.579108335912327</v>
      </c>
      <c r="I28" s="31"/>
      <c r="J28" s="17">
        <f t="shared" si="4"/>
        <v>0</v>
      </c>
      <c r="K28" s="16">
        <f t="shared" si="9"/>
        <v>88352</v>
      </c>
      <c r="L28" s="206">
        <f t="shared" si="10"/>
        <v>80.42089166408766</v>
      </c>
    </row>
    <row r="29" spans="1:12" s="29" customFormat="1" ht="13.5" thickBot="1">
      <c r="A29" s="23" t="s">
        <v>40</v>
      </c>
      <c r="B29" s="24">
        <f>SUM(B21:B28)</f>
        <v>1795606</v>
      </c>
      <c r="C29" s="24">
        <f aca="true" t="shared" si="11" ref="C29:K29">SUM(C21:C28)</f>
        <v>110516</v>
      </c>
      <c r="D29" s="82">
        <f t="shared" si="6"/>
        <v>6.154802334142345</v>
      </c>
      <c r="E29" s="24">
        <f t="shared" si="11"/>
        <v>2643</v>
      </c>
      <c r="F29" s="28">
        <f t="shared" si="7"/>
        <v>0.1471926469392506</v>
      </c>
      <c r="G29" s="24">
        <f t="shared" si="11"/>
        <v>1004535</v>
      </c>
      <c r="H29" s="28">
        <f t="shared" si="8"/>
        <v>55.94406568033299</v>
      </c>
      <c r="I29" s="24">
        <f>SUM(I21:I28)</f>
        <v>129231</v>
      </c>
      <c r="J29" s="28">
        <f t="shared" si="4"/>
        <v>7.1970688447242885</v>
      </c>
      <c r="K29" s="24">
        <f t="shared" si="11"/>
        <v>548681</v>
      </c>
      <c r="L29" s="40">
        <f t="shared" si="10"/>
        <v>30.556870493861126</v>
      </c>
    </row>
    <row r="30" spans="1:12" s="75" customFormat="1" ht="12.75">
      <c r="A30" s="169" t="s">
        <v>52</v>
      </c>
      <c r="B30" s="30">
        <f>2737279-'kötelező2019.'!C25-'kötelező2019.'!C26-B31</f>
        <v>867918</v>
      </c>
      <c r="C30" s="30"/>
      <c r="D30" s="175">
        <f t="shared" si="6"/>
        <v>0</v>
      </c>
      <c r="E30" s="30"/>
      <c r="F30" s="32">
        <f t="shared" si="7"/>
        <v>0</v>
      </c>
      <c r="G30" s="30"/>
      <c r="H30" s="32">
        <f>SUM(G30/B30*100)</f>
        <v>0</v>
      </c>
      <c r="I30" s="30">
        <v>33724</v>
      </c>
      <c r="J30" s="32">
        <f t="shared" si="4"/>
        <v>3.88562053097182</v>
      </c>
      <c r="K30" s="31">
        <f>SUM(B30-C30-E30-G30-I30)</f>
        <v>834194</v>
      </c>
      <c r="L30" s="33">
        <f t="shared" si="10"/>
        <v>96.11437946902818</v>
      </c>
    </row>
    <row r="31" spans="1:12" ht="13.5" thickBot="1">
      <c r="A31" s="37" t="s">
        <v>33</v>
      </c>
      <c r="B31" s="25">
        <v>2550</v>
      </c>
      <c r="C31" s="25"/>
      <c r="D31" s="176">
        <f t="shared" si="6"/>
        <v>0</v>
      </c>
      <c r="E31" s="26"/>
      <c r="F31" s="38">
        <f t="shared" si="7"/>
        <v>0</v>
      </c>
      <c r="G31" s="26"/>
      <c r="H31" s="38">
        <f>SUM(G31/B31*100)</f>
        <v>0</v>
      </c>
      <c r="I31" s="26"/>
      <c r="J31" s="38">
        <f t="shared" si="4"/>
        <v>0</v>
      </c>
      <c r="K31" s="26">
        <f>SUM(B31-C31-E31-G31-I31)</f>
        <v>2550</v>
      </c>
      <c r="L31" s="39">
        <f t="shared" si="10"/>
        <v>100</v>
      </c>
    </row>
    <row r="32" spans="1:12" s="29" customFormat="1" ht="13.5" thickBot="1">
      <c r="A32" s="27" t="s">
        <v>37</v>
      </c>
      <c r="B32" s="24">
        <f>SUM(B30:B31)</f>
        <v>870468</v>
      </c>
      <c r="C32" s="24">
        <f>SUM(C30:C31)</f>
        <v>0</v>
      </c>
      <c r="D32" s="82">
        <f t="shared" si="6"/>
        <v>0</v>
      </c>
      <c r="E32" s="24">
        <f>SUM(E31)</f>
        <v>0</v>
      </c>
      <c r="F32" s="28">
        <f t="shared" si="7"/>
        <v>0</v>
      </c>
      <c r="G32" s="24">
        <f>SUM(G30:G31)</f>
        <v>0</v>
      </c>
      <c r="H32" s="28">
        <f>SUM(H31)</f>
        <v>0</v>
      </c>
      <c r="I32" s="24">
        <f>SUM(I30:I31)</f>
        <v>33724</v>
      </c>
      <c r="J32" s="28">
        <f t="shared" si="4"/>
        <v>3.874237766350974</v>
      </c>
      <c r="K32" s="24">
        <f>SUM(K30:K31)</f>
        <v>836744</v>
      </c>
      <c r="L32" s="40">
        <f t="shared" si="10"/>
        <v>96.12576223364903</v>
      </c>
    </row>
    <row r="33" spans="1:12" s="29" customFormat="1" ht="13.5" thickBot="1">
      <c r="A33" s="23" t="s">
        <v>17</v>
      </c>
      <c r="B33" s="24">
        <f>SUM(B32,B29,B20)</f>
        <v>6809695</v>
      </c>
      <c r="C33" s="24">
        <f>SUM(C32,C29,C20)</f>
        <v>202237</v>
      </c>
      <c r="D33" s="82">
        <f t="shared" si="6"/>
        <v>2.969839324668726</v>
      </c>
      <c r="E33" s="24">
        <f>SUM(E32,E29,E20)</f>
        <v>198648</v>
      </c>
      <c r="F33" s="28">
        <f t="shared" si="7"/>
        <v>2.917135055241094</v>
      </c>
      <c r="G33" s="24">
        <f>SUM(G32,G29,G20)</f>
        <v>1005235</v>
      </c>
      <c r="H33" s="28">
        <f>SUM(G33/B33*100)</f>
        <v>14.761821197571992</v>
      </c>
      <c r="I33" s="24">
        <f>SUM(I32,I29,I20)</f>
        <v>3475657</v>
      </c>
      <c r="J33" s="28">
        <f t="shared" si="4"/>
        <v>51.03983364893728</v>
      </c>
      <c r="K33" s="24">
        <f>SUM(K32,K29,K20)</f>
        <v>1927918</v>
      </c>
      <c r="L33" s="40">
        <f>SUM(K33/B33)*100</f>
        <v>28.3113707735809</v>
      </c>
    </row>
    <row r="34" spans="3:11" ht="12.75">
      <c r="C34" s="6"/>
      <c r="D34" s="71"/>
      <c r="E34" s="3"/>
      <c r="F34" s="2"/>
      <c r="G34" s="3"/>
      <c r="H34" s="2"/>
      <c r="I34" s="2"/>
      <c r="J34" s="2"/>
      <c r="K34" s="6"/>
    </row>
    <row r="35" spans="1:7" s="3" customFormat="1" ht="13.5" thickBot="1">
      <c r="A35" s="60" t="s">
        <v>53</v>
      </c>
      <c r="D35" s="83"/>
      <c r="G35" s="47"/>
    </row>
    <row r="36" spans="1:12" s="3" customFormat="1" ht="13.5" thickBot="1">
      <c r="A36" s="84" t="s">
        <v>54</v>
      </c>
      <c r="B36" s="85">
        <v>36000</v>
      </c>
      <c r="C36" s="85">
        <v>60000</v>
      </c>
      <c r="D36" s="86">
        <f>SUM(C36/B36)*100</f>
        <v>166.66666666666669</v>
      </c>
      <c r="E36" s="85"/>
      <c r="F36" s="85">
        <f>SUM(E36/B36)*100</f>
        <v>0</v>
      </c>
      <c r="G36" s="87"/>
      <c r="H36" s="85">
        <f>SUM(G36/B36*100)</f>
        <v>0</v>
      </c>
      <c r="I36" s="85"/>
      <c r="J36" s="85">
        <f>SUM(I36/B36*100)</f>
        <v>0</v>
      </c>
      <c r="K36" s="85">
        <f>SUM(B36-C36-E36-G36-I36)</f>
        <v>-24000</v>
      </c>
      <c r="L36" s="88">
        <f>SUM(K36/B36)*100</f>
        <v>-66.66666666666666</v>
      </c>
    </row>
    <row r="37" spans="4:7" s="3" customFormat="1" ht="12.75">
      <c r="D37" s="83"/>
      <c r="G37" s="47"/>
    </row>
    <row r="38" s="3" customFormat="1" ht="12.75">
      <c r="D38" s="83"/>
    </row>
    <row r="39" s="3" customFormat="1" ht="12.75">
      <c r="D39" s="83"/>
    </row>
    <row r="40" s="3" customFormat="1" ht="12.75">
      <c r="D40" s="83"/>
    </row>
    <row r="41" s="3" customFormat="1" ht="12.75">
      <c r="D41" s="83"/>
    </row>
    <row r="42" s="3" customFormat="1" ht="12.75">
      <c r="D42" s="83"/>
    </row>
    <row r="43" s="3" customFormat="1" ht="12.75">
      <c r="D43" s="83"/>
    </row>
    <row r="44" s="3" customFormat="1" ht="12.75">
      <c r="D44" s="83"/>
    </row>
    <row r="45" s="3" customFormat="1" ht="12.75">
      <c r="D45" s="83"/>
    </row>
    <row r="46" s="3" customFormat="1" ht="12.75">
      <c r="D46" s="83"/>
    </row>
    <row r="47" s="3" customFormat="1" ht="12.75">
      <c r="D47" s="83"/>
    </row>
    <row r="48" s="3" customFormat="1" ht="12.75">
      <c r="D48" s="83"/>
    </row>
    <row r="49" s="3" customFormat="1" ht="12.75">
      <c r="D49" s="83"/>
    </row>
    <row r="50" s="3" customFormat="1" ht="12.75">
      <c r="D50" s="83"/>
    </row>
    <row r="51" s="3" customFormat="1" ht="12.75">
      <c r="D51" s="83"/>
    </row>
    <row r="52" s="3" customFormat="1" ht="12.75">
      <c r="D52" s="83"/>
    </row>
    <row r="53" s="3" customFormat="1" ht="12.75">
      <c r="D53" s="83"/>
    </row>
    <row r="54" s="3" customFormat="1" ht="12.75">
      <c r="D54" s="83"/>
    </row>
    <row r="55" s="3" customFormat="1" ht="12.75">
      <c r="D55" s="83"/>
    </row>
    <row r="56" s="3" customFormat="1" ht="12.75">
      <c r="D56" s="83"/>
    </row>
    <row r="57" s="3" customFormat="1" ht="12.75">
      <c r="D57" s="83"/>
    </row>
    <row r="58" s="3" customFormat="1" ht="12.75">
      <c r="D58" s="83"/>
    </row>
    <row r="59" s="3" customFormat="1" ht="12.75">
      <c r="D59" s="83"/>
    </row>
    <row r="60" s="3" customFormat="1" ht="12.75">
      <c r="D60" s="83"/>
    </row>
    <row r="61" s="3" customFormat="1" ht="12.75">
      <c r="D61" s="83"/>
    </row>
    <row r="62" s="3" customFormat="1" ht="12.75">
      <c r="D62" s="83"/>
    </row>
    <row r="63" s="3" customFormat="1" ht="12.75">
      <c r="D63" s="83"/>
    </row>
    <row r="64" s="3" customFormat="1" ht="12.75">
      <c r="D64" s="83"/>
    </row>
    <row r="65" s="3" customFormat="1" ht="12.75">
      <c r="D65" s="83"/>
    </row>
    <row r="66" s="3" customFormat="1" ht="12.75">
      <c r="D66" s="83"/>
    </row>
    <row r="67" s="3" customFormat="1" ht="12.75">
      <c r="D67" s="83"/>
    </row>
    <row r="68" s="3" customFormat="1" ht="12.75">
      <c r="D68" s="83"/>
    </row>
    <row r="69" s="3" customFormat="1" ht="12.75">
      <c r="D69" s="83"/>
    </row>
    <row r="70" s="3" customFormat="1" ht="12.75">
      <c r="D70" s="83"/>
    </row>
    <row r="71" s="3" customFormat="1" ht="12.75">
      <c r="D71" s="83"/>
    </row>
    <row r="72" s="3" customFormat="1" ht="12.75">
      <c r="D72" s="83"/>
    </row>
    <row r="73" s="3" customFormat="1" ht="12.75">
      <c r="D73" s="83"/>
    </row>
    <row r="74" s="3" customFormat="1" ht="12.75">
      <c r="D74" s="83"/>
    </row>
    <row r="75" s="3" customFormat="1" ht="12.75">
      <c r="D75" s="83"/>
    </row>
    <row r="76" s="3" customFormat="1" ht="12.75">
      <c r="D76" s="83"/>
    </row>
    <row r="77" s="3" customFormat="1" ht="12.75">
      <c r="D77" s="83"/>
    </row>
    <row r="78" s="3" customFormat="1" ht="12.75">
      <c r="D78" s="83"/>
    </row>
    <row r="79" s="3" customFormat="1" ht="12.75">
      <c r="D79" s="83"/>
    </row>
    <row r="80" s="3" customFormat="1" ht="12.75">
      <c r="D80" s="83"/>
    </row>
    <row r="81" s="3" customFormat="1" ht="12.75">
      <c r="D81" s="83"/>
    </row>
    <row r="82" s="3" customFormat="1" ht="12.75">
      <c r="D82" s="83"/>
    </row>
    <row r="83" s="3" customFormat="1" ht="12.75">
      <c r="D83" s="83"/>
    </row>
    <row r="84" s="3" customFormat="1" ht="12.75">
      <c r="D84" s="83"/>
    </row>
    <row r="85" s="3" customFormat="1" ht="12.75">
      <c r="D85" s="83"/>
    </row>
    <row r="86" s="3" customFormat="1" ht="12.75">
      <c r="D86" s="83"/>
    </row>
    <row r="87" s="3" customFormat="1" ht="12.75">
      <c r="D87" s="83"/>
    </row>
    <row r="88" s="3" customFormat="1" ht="12.75">
      <c r="D88" s="83"/>
    </row>
    <row r="89" s="3" customFormat="1" ht="12.75">
      <c r="D89" s="83"/>
    </row>
    <row r="90" s="3" customFormat="1" ht="12.75">
      <c r="D90" s="83"/>
    </row>
    <row r="91" s="3" customFormat="1" ht="12.75">
      <c r="D91" s="83"/>
    </row>
    <row r="92" s="3" customFormat="1" ht="12.75">
      <c r="D92" s="83"/>
    </row>
    <row r="93" s="3" customFormat="1" ht="12.75">
      <c r="D93" s="83"/>
    </row>
    <row r="94" s="3" customFormat="1" ht="12.75">
      <c r="D94" s="83"/>
    </row>
    <row r="95" s="3" customFormat="1" ht="12.75">
      <c r="D95" s="83"/>
    </row>
    <row r="96" s="3" customFormat="1" ht="12.75">
      <c r="D96" s="83"/>
    </row>
    <row r="97" s="3" customFormat="1" ht="12.75">
      <c r="D97" s="83"/>
    </row>
    <row r="98" s="3" customFormat="1" ht="12.75">
      <c r="D98" s="83"/>
    </row>
    <row r="99" s="3" customFormat="1" ht="12.75">
      <c r="D99" s="83"/>
    </row>
    <row r="100" s="3" customFormat="1" ht="12.75">
      <c r="D100" s="83"/>
    </row>
    <row r="101" s="3" customFormat="1" ht="12.75">
      <c r="D101" s="83"/>
    </row>
    <row r="102" s="3" customFormat="1" ht="12.75">
      <c r="D102" s="83"/>
    </row>
    <row r="103" s="3" customFormat="1" ht="12.75">
      <c r="D103" s="83"/>
    </row>
    <row r="104" s="3" customFormat="1" ht="12.75">
      <c r="D104" s="83"/>
    </row>
    <row r="105" s="3" customFormat="1" ht="12.75">
      <c r="D105" s="83"/>
    </row>
    <row r="106" s="3" customFormat="1" ht="12.75">
      <c r="D106" s="83"/>
    </row>
    <row r="107" s="3" customFormat="1" ht="12.75">
      <c r="D107" s="83"/>
    </row>
    <row r="108" s="3" customFormat="1" ht="12.75">
      <c r="D108" s="83"/>
    </row>
    <row r="109" s="3" customFormat="1" ht="12.75">
      <c r="D109" s="83"/>
    </row>
    <row r="110" s="3" customFormat="1" ht="12.75">
      <c r="D110" s="83"/>
    </row>
    <row r="111" s="3" customFormat="1" ht="12.75">
      <c r="D111" s="83"/>
    </row>
    <row r="112" s="3" customFormat="1" ht="12.75">
      <c r="D112" s="83"/>
    </row>
    <row r="113" s="3" customFormat="1" ht="12.75">
      <c r="D113" s="83"/>
    </row>
    <row r="114" s="3" customFormat="1" ht="12.75">
      <c r="D114" s="83"/>
    </row>
    <row r="115" s="3" customFormat="1" ht="12.75">
      <c r="D115" s="83"/>
    </row>
    <row r="116" s="3" customFormat="1" ht="12.75">
      <c r="D116" s="83"/>
    </row>
    <row r="117" s="3" customFormat="1" ht="12.75">
      <c r="D117" s="83"/>
    </row>
    <row r="118" s="3" customFormat="1" ht="12.75">
      <c r="D118" s="83"/>
    </row>
    <row r="119" s="3" customFormat="1" ht="12.75">
      <c r="D119" s="83"/>
    </row>
    <row r="120" s="3" customFormat="1" ht="12.75">
      <c r="D120" s="83"/>
    </row>
    <row r="121" s="3" customFormat="1" ht="12.75">
      <c r="D121" s="83"/>
    </row>
    <row r="122" s="3" customFormat="1" ht="12.75">
      <c r="D122" s="83"/>
    </row>
    <row r="123" s="3" customFormat="1" ht="12.75">
      <c r="D123" s="83"/>
    </row>
    <row r="124" s="3" customFormat="1" ht="12.75">
      <c r="D124" s="83"/>
    </row>
    <row r="125" s="3" customFormat="1" ht="12.75">
      <c r="D125" s="83"/>
    </row>
    <row r="126" s="3" customFormat="1" ht="12.75">
      <c r="D126" s="83"/>
    </row>
    <row r="127" s="3" customFormat="1" ht="12.75">
      <c r="D127" s="83"/>
    </row>
    <row r="128" s="3" customFormat="1" ht="12.75">
      <c r="D128" s="83"/>
    </row>
    <row r="129" s="3" customFormat="1" ht="12.75">
      <c r="D129" s="83"/>
    </row>
    <row r="130" s="3" customFormat="1" ht="12.75">
      <c r="D130" s="83"/>
    </row>
    <row r="131" s="3" customFormat="1" ht="12.75">
      <c r="D131" s="83"/>
    </row>
    <row r="132" s="3" customFormat="1" ht="12.75">
      <c r="D132" s="83"/>
    </row>
    <row r="133" s="3" customFormat="1" ht="12.75">
      <c r="D133" s="83"/>
    </row>
    <row r="134" s="3" customFormat="1" ht="12.75">
      <c r="D134" s="83"/>
    </row>
    <row r="135" s="3" customFormat="1" ht="12.75">
      <c r="D135" s="83"/>
    </row>
    <row r="136" s="3" customFormat="1" ht="12.75">
      <c r="D136" s="83"/>
    </row>
    <row r="137" s="3" customFormat="1" ht="12.75">
      <c r="D137" s="83"/>
    </row>
    <row r="138" s="3" customFormat="1" ht="12.75">
      <c r="D138" s="83"/>
    </row>
    <row r="139" s="3" customFormat="1" ht="12.75">
      <c r="D139" s="83"/>
    </row>
    <row r="140" s="3" customFormat="1" ht="12.75">
      <c r="D140" s="83"/>
    </row>
    <row r="141" s="3" customFormat="1" ht="12.75">
      <c r="D141" s="83"/>
    </row>
    <row r="142" s="3" customFormat="1" ht="12.75">
      <c r="D142" s="83"/>
    </row>
    <row r="143" s="3" customFormat="1" ht="12.75">
      <c r="D143" s="83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zoomScalePageLayoutView="0" workbookViewId="0" topLeftCell="B42">
      <selection activeCell="B46" sqref="A46:IV73"/>
    </sheetView>
  </sheetViews>
  <sheetFormatPr defaultColWidth="9.00390625" defaultRowHeight="12.75"/>
  <cols>
    <col min="1" max="1" width="1.12109375" style="3" hidden="1" customWidth="1"/>
    <col min="2" max="2" width="33.25390625" style="3" customWidth="1"/>
    <col min="3" max="3" width="10.375" style="3" customWidth="1"/>
    <col min="4" max="4" width="9.75390625" style="3" bestFit="1" customWidth="1"/>
    <col min="5" max="5" width="9.75390625" style="3" customWidth="1"/>
    <col min="6" max="6" width="10.875" style="3" customWidth="1"/>
    <col min="7" max="7" width="10.125" style="3" customWidth="1"/>
    <col min="8" max="8" width="11.625" style="57" customWidth="1"/>
    <col min="9" max="9" width="8.375" style="57" customWidth="1"/>
    <col min="10" max="10" width="9.75390625" style="57" customWidth="1"/>
    <col min="11" max="11" width="10.00390625" style="57" customWidth="1"/>
    <col min="12" max="12" width="11.125" style="3" customWidth="1"/>
    <col min="13" max="13" width="13.00390625" style="3" customWidth="1"/>
    <col min="14" max="16384" width="9.125" style="3" customWidth="1"/>
  </cols>
  <sheetData>
    <row r="1" spans="12:13" ht="12" customHeight="1">
      <c r="L1" s="195" t="s">
        <v>28</v>
      </c>
      <c r="M1" s="195"/>
    </row>
    <row r="2" spans="2:13" ht="14.25" customHeight="1">
      <c r="B2" s="194" t="s">
        <v>101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</row>
    <row r="3" spans="2:13" ht="12" customHeight="1" thickBot="1">
      <c r="B3" s="47"/>
      <c r="C3" s="47"/>
      <c r="D3" s="47"/>
      <c r="E3" s="47"/>
      <c r="F3" s="47"/>
      <c r="G3" s="47"/>
      <c r="H3" s="58"/>
      <c r="I3" s="58"/>
      <c r="J3" s="58"/>
      <c r="K3" s="58"/>
      <c r="L3" s="151"/>
      <c r="M3" s="150" t="s">
        <v>0</v>
      </c>
    </row>
    <row r="4" spans="2:13" s="115" customFormat="1" ht="41.25" customHeight="1" thickBot="1">
      <c r="B4" s="152" t="s">
        <v>3</v>
      </c>
      <c r="C4" s="44" t="s">
        <v>62</v>
      </c>
      <c r="D4" s="44" t="s">
        <v>61</v>
      </c>
      <c r="E4" s="44" t="s">
        <v>60</v>
      </c>
      <c r="F4" s="44" t="s">
        <v>59</v>
      </c>
      <c r="G4" s="44" t="s">
        <v>58</v>
      </c>
      <c r="H4" s="44" t="s">
        <v>98</v>
      </c>
      <c r="I4" s="44" t="s">
        <v>63</v>
      </c>
      <c r="J4" s="44" t="s">
        <v>56</v>
      </c>
      <c r="K4" s="44" t="s">
        <v>45</v>
      </c>
      <c r="L4" s="44" t="s">
        <v>64</v>
      </c>
      <c r="M4" s="153" t="s">
        <v>65</v>
      </c>
    </row>
    <row r="5" spans="2:13" ht="12" customHeight="1">
      <c r="B5" s="154" t="s">
        <v>34</v>
      </c>
      <c r="C5" s="19">
        <v>26500</v>
      </c>
      <c r="D5" s="20"/>
      <c r="E5" s="20">
        <f>SUM(D5/C5)*100</f>
        <v>0</v>
      </c>
      <c r="F5" s="20"/>
      <c r="G5" s="16">
        <f>SUM(F5/C5)*100</f>
        <v>0</v>
      </c>
      <c r="H5" s="20"/>
      <c r="I5" s="16">
        <f aca="true" t="shared" si="0" ref="I5:I20">SUM(H5/C5)*100</f>
        <v>0</v>
      </c>
      <c r="J5" s="16"/>
      <c r="K5" s="16">
        <f aca="true" t="shared" si="1" ref="K5:K20">SUM(J5/C5)*100</f>
        <v>0</v>
      </c>
      <c r="L5" s="16">
        <f aca="true" t="shared" si="2" ref="L5:L14">SUM(C5-D5-F5-H5-J5)</f>
        <v>26500</v>
      </c>
      <c r="M5" s="155">
        <f>SUM(L5/C5)*100</f>
        <v>100</v>
      </c>
    </row>
    <row r="6" spans="2:13" ht="12" customHeight="1">
      <c r="B6" s="154" t="s">
        <v>5</v>
      </c>
      <c r="C6" s="19">
        <v>64160</v>
      </c>
      <c r="D6" s="20"/>
      <c r="E6" s="20">
        <f>SUM(D6/C6)*100</f>
        <v>0</v>
      </c>
      <c r="F6" s="20"/>
      <c r="G6" s="16">
        <f>SUM(F6/C6)*100</f>
        <v>0</v>
      </c>
      <c r="H6" s="20"/>
      <c r="I6" s="16">
        <f t="shared" si="0"/>
        <v>0</v>
      </c>
      <c r="J6" s="16"/>
      <c r="K6" s="16">
        <f t="shared" si="1"/>
        <v>0</v>
      </c>
      <c r="L6" s="16">
        <f t="shared" si="2"/>
        <v>64160</v>
      </c>
      <c r="M6" s="155">
        <f>SUM(L6/C6)*100</f>
        <v>100</v>
      </c>
    </row>
    <row r="7" spans="2:13" ht="12" customHeight="1">
      <c r="B7" s="154" t="s">
        <v>6</v>
      </c>
      <c r="C7" s="19">
        <f>262900-13000</f>
        <v>249900</v>
      </c>
      <c r="D7" s="20"/>
      <c r="E7" s="20">
        <f>SUM(D7/C7)*100</f>
        <v>0</v>
      </c>
      <c r="F7" s="20">
        <v>10671</v>
      </c>
      <c r="G7" s="16">
        <f>SUM(F7/C7)*100</f>
        <v>4.270108043217287</v>
      </c>
      <c r="H7" s="20"/>
      <c r="I7" s="16">
        <f t="shared" si="0"/>
        <v>0</v>
      </c>
      <c r="J7" s="16"/>
      <c r="K7" s="16">
        <f t="shared" si="1"/>
        <v>0</v>
      </c>
      <c r="L7" s="16">
        <f t="shared" si="2"/>
        <v>239229</v>
      </c>
      <c r="M7" s="155">
        <f>SUM(L7/C7)*100</f>
        <v>95.72989195678271</v>
      </c>
    </row>
    <row r="8" spans="2:13" ht="12" customHeight="1">
      <c r="B8" s="154" t="s">
        <v>13</v>
      </c>
      <c r="C8" s="19">
        <v>319261</v>
      </c>
      <c r="D8" s="20"/>
      <c r="E8" s="20">
        <f aca="true" t="shared" si="3" ref="E8:E15">SUM(D8/C8)*100</f>
        <v>0</v>
      </c>
      <c r="F8" s="20"/>
      <c r="G8" s="20">
        <f aca="true" t="shared" si="4" ref="G8:G15">SUM(F8/C8)*100</f>
        <v>0</v>
      </c>
      <c r="H8" s="20"/>
      <c r="I8" s="16">
        <f t="shared" si="0"/>
        <v>0</v>
      </c>
      <c r="J8" s="16"/>
      <c r="K8" s="16">
        <f t="shared" si="1"/>
        <v>0</v>
      </c>
      <c r="L8" s="16">
        <f t="shared" si="2"/>
        <v>319261</v>
      </c>
      <c r="M8" s="155">
        <f aca="true" t="shared" si="5" ref="M8:M15">SUM(L8/C8)*100</f>
        <v>100</v>
      </c>
    </row>
    <row r="9" spans="2:13" ht="12" customHeight="1">
      <c r="B9" s="154" t="s">
        <v>14</v>
      </c>
      <c r="C9" s="19">
        <f>710378+101000</f>
        <v>811378</v>
      </c>
      <c r="D9" s="20"/>
      <c r="E9" s="20">
        <f t="shared" si="3"/>
        <v>0</v>
      </c>
      <c r="F9" s="20"/>
      <c r="G9" s="20">
        <f t="shared" si="4"/>
        <v>0</v>
      </c>
      <c r="H9" s="20"/>
      <c r="I9" s="16">
        <f t="shared" si="0"/>
        <v>0</v>
      </c>
      <c r="J9" s="16"/>
      <c r="K9" s="16">
        <f t="shared" si="1"/>
        <v>0</v>
      </c>
      <c r="L9" s="16">
        <f t="shared" si="2"/>
        <v>811378</v>
      </c>
      <c r="M9" s="155">
        <f t="shared" si="5"/>
        <v>100</v>
      </c>
    </row>
    <row r="10" spans="2:13" ht="12" customHeight="1">
      <c r="B10" s="154" t="s">
        <v>15</v>
      </c>
      <c r="C10" s="19">
        <v>588739</v>
      </c>
      <c r="D10" s="20"/>
      <c r="E10" s="20">
        <f t="shared" si="3"/>
        <v>0</v>
      </c>
      <c r="F10" s="20"/>
      <c r="G10" s="20">
        <f t="shared" si="4"/>
        <v>0</v>
      </c>
      <c r="H10" s="20"/>
      <c r="I10" s="16">
        <f t="shared" si="0"/>
        <v>0</v>
      </c>
      <c r="J10" s="16"/>
      <c r="K10" s="16">
        <f t="shared" si="1"/>
        <v>0</v>
      </c>
      <c r="L10" s="16">
        <f t="shared" si="2"/>
        <v>588739</v>
      </c>
      <c r="M10" s="155">
        <f t="shared" si="5"/>
        <v>100</v>
      </c>
    </row>
    <row r="11" spans="2:13" ht="12" customHeight="1">
      <c r="B11" s="154" t="s">
        <v>16</v>
      </c>
      <c r="C11" s="19">
        <f>2900810-42829-77775</f>
        <v>2780206</v>
      </c>
      <c r="D11" s="20">
        <f>11499+219112+1536057+13298+14491+127+5156+28668+27843+23432+1426771+25702+56605-60000-225823-60973-179494-8463-114024-174034-9431-2688-77775</f>
        <v>2476056</v>
      </c>
      <c r="E11" s="20">
        <f t="shared" si="3"/>
        <v>89.06016316776527</v>
      </c>
      <c r="F11" s="20"/>
      <c r="G11" s="20">
        <f t="shared" si="4"/>
        <v>0</v>
      </c>
      <c r="H11" s="20"/>
      <c r="I11" s="16">
        <f t="shared" si="0"/>
        <v>0</v>
      </c>
      <c r="J11" s="16"/>
      <c r="K11" s="16">
        <f t="shared" si="1"/>
        <v>0</v>
      </c>
      <c r="L11" s="16">
        <f>SUM(C11-D11-F11-H11-J11)</f>
        <v>304150</v>
      </c>
      <c r="M11" s="155">
        <f t="shared" si="5"/>
        <v>10.939836832234734</v>
      </c>
    </row>
    <row r="12" spans="2:13" ht="12" customHeight="1">
      <c r="B12" s="154" t="s">
        <v>55</v>
      </c>
      <c r="C12" s="116">
        <f>323329+12000</f>
        <v>335329</v>
      </c>
      <c r="D12" s="185">
        <f>732790-40000</f>
        <v>692790</v>
      </c>
      <c r="E12" s="20">
        <f t="shared" si="3"/>
        <v>206.60008528937252</v>
      </c>
      <c r="F12" s="185"/>
      <c r="G12" s="20">
        <f t="shared" si="4"/>
        <v>0</v>
      </c>
      <c r="H12" s="185"/>
      <c r="I12" s="16">
        <f t="shared" si="0"/>
        <v>0</v>
      </c>
      <c r="J12" s="20"/>
      <c r="K12" s="16">
        <f t="shared" si="1"/>
        <v>0</v>
      </c>
      <c r="L12" s="16">
        <f>SUM(C12-D12-F12-H12-J12)</f>
        <v>-357461</v>
      </c>
      <c r="M12" s="155">
        <f t="shared" si="5"/>
        <v>-106.60008528937253</v>
      </c>
    </row>
    <row r="13" spans="2:13" ht="12" customHeight="1">
      <c r="B13" s="159" t="s">
        <v>50</v>
      </c>
      <c r="C13" s="116">
        <f>1603100+389000-76615-113672-90564-63388-62349</f>
        <v>1585512</v>
      </c>
      <c r="D13" s="185">
        <f>3360000+140000-283761-76615-249413-67342-99006-26731</f>
        <v>2697132</v>
      </c>
      <c r="E13" s="185">
        <f t="shared" si="3"/>
        <v>170.1111060654224</v>
      </c>
      <c r="F13" s="185"/>
      <c r="G13" s="185">
        <f t="shared" si="4"/>
        <v>0</v>
      </c>
      <c r="H13" s="185"/>
      <c r="I13" s="16">
        <f t="shared" si="0"/>
        <v>0</v>
      </c>
      <c r="J13" s="31"/>
      <c r="K13" s="16">
        <f t="shared" si="1"/>
        <v>0</v>
      </c>
      <c r="L13" s="16">
        <f t="shared" si="2"/>
        <v>-1111620</v>
      </c>
      <c r="M13" s="187">
        <f t="shared" si="5"/>
        <v>-70.1111060654224</v>
      </c>
    </row>
    <row r="14" spans="2:13" ht="12" customHeight="1" thickBot="1">
      <c r="B14" s="159" t="s">
        <v>27</v>
      </c>
      <c r="C14" s="116">
        <f>238394-34424-25816</f>
        <v>178154</v>
      </c>
      <c r="D14" s="185">
        <f>62498-14400-801</f>
        <v>47297</v>
      </c>
      <c r="E14" s="185">
        <f t="shared" si="3"/>
        <v>26.548379491900263</v>
      </c>
      <c r="F14" s="185">
        <f>16665+51113-7839</f>
        <v>59939</v>
      </c>
      <c r="G14" s="185">
        <f t="shared" si="4"/>
        <v>33.644487353637864</v>
      </c>
      <c r="H14" s="185"/>
      <c r="I14" s="31">
        <f t="shared" si="0"/>
        <v>0</v>
      </c>
      <c r="J14" s="185"/>
      <c r="K14" s="31">
        <f t="shared" si="1"/>
        <v>0</v>
      </c>
      <c r="L14" s="31">
        <f t="shared" si="2"/>
        <v>70918</v>
      </c>
      <c r="M14" s="187">
        <f t="shared" si="5"/>
        <v>39.80713315446187</v>
      </c>
    </row>
    <row r="15" spans="2:13" s="34" customFormat="1" ht="12" customHeight="1" thickBot="1">
      <c r="B15" s="167" t="s">
        <v>36</v>
      </c>
      <c r="C15" s="24">
        <f>SUM(C5:C14)</f>
        <v>6939139</v>
      </c>
      <c r="D15" s="24">
        <f>SUM(D5:D14)</f>
        <v>5913275</v>
      </c>
      <c r="E15" s="24">
        <f t="shared" si="3"/>
        <v>85.21626386213045</v>
      </c>
      <c r="F15" s="24">
        <f>SUM(F5:F14)</f>
        <v>70610</v>
      </c>
      <c r="G15" s="24">
        <f t="shared" si="4"/>
        <v>1.0175614006290983</v>
      </c>
      <c r="H15" s="24">
        <f>SUM(H5:H14)</f>
        <v>0</v>
      </c>
      <c r="I15" s="24">
        <f t="shared" si="0"/>
        <v>0</v>
      </c>
      <c r="J15" s="24">
        <f>SUM(J5:J14)</f>
        <v>0</v>
      </c>
      <c r="K15" s="24">
        <f t="shared" si="1"/>
        <v>0</v>
      </c>
      <c r="L15" s="24">
        <f>SUM(L5:L14)</f>
        <v>955254</v>
      </c>
      <c r="M15" s="156">
        <f t="shared" si="5"/>
        <v>13.766174737240455</v>
      </c>
    </row>
    <row r="16" spans="2:13" s="182" customFormat="1" ht="12" customHeight="1">
      <c r="B16" s="179" t="s">
        <v>12</v>
      </c>
      <c r="C16" s="19">
        <v>53675</v>
      </c>
      <c r="D16" s="180">
        <v>3639</v>
      </c>
      <c r="E16" s="20">
        <f aca="true" t="shared" si="6" ref="E16:E24">SUM(D16/C16)*100</f>
        <v>6.779692594317653</v>
      </c>
      <c r="F16" s="180"/>
      <c r="G16" s="180">
        <f aca="true" t="shared" si="7" ref="G16:G23">SUM(F16/C16)*100</f>
        <v>0</v>
      </c>
      <c r="H16" s="180"/>
      <c r="I16" s="180">
        <f t="shared" si="0"/>
        <v>0</v>
      </c>
      <c r="J16" s="181"/>
      <c r="K16" s="181">
        <f t="shared" si="1"/>
        <v>0</v>
      </c>
      <c r="L16" s="16">
        <f>SUM(C16-D16-F16-H16-J16)</f>
        <v>50036</v>
      </c>
      <c r="M16" s="155">
        <f aca="true" t="shared" si="8" ref="M16:M24">SUM(L16/C16)*100</f>
        <v>93.22030740568235</v>
      </c>
    </row>
    <row r="17" spans="2:13" s="182" customFormat="1" ht="12" customHeight="1">
      <c r="B17" s="179" t="s">
        <v>105</v>
      </c>
      <c r="C17" s="19">
        <v>70323</v>
      </c>
      <c r="D17" s="180">
        <v>20428</v>
      </c>
      <c r="E17" s="20">
        <f t="shared" si="6"/>
        <v>29.048817598794134</v>
      </c>
      <c r="F17" s="180"/>
      <c r="G17" s="180">
        <f t="shared" si="7"/>
        <v>0</v>
      </c>
      <c r="H17" s="180">
        <v>36994</v>
      </c>
      <c r="I17" s="180">
        <f t="shared" si="0"/>
        <v>52.6058330844816</v>
      </c>
      <c r="J17" s="181"/>
      <c r="K17" s="181">
        <f t="shared" si="1"/>
        <v>0</v>
      </c>
      <c r="L17" s="16">
        <f>SUM(C17-D17-F17-H17-J17)</f>
        <v>12901</v>
      </c>
      <c r="M17" s="155">
        <f t="shared" si="8"/>
        <v>18.345349316724256</v>
      </c>
    </row>
    <row r="18" spans="2:13" s="182" customFormat="1" ht="12" customHeight="1">
      <c r="B18" s="179" t="s">
        <v>107</v>
      </c>
      <c r="C18" s="19">
        <v>67477</v>
      </c>
      <c r="D18" s="180"/>
      <c r="E18" s="20">
        <f t="shared" si="6"/>
        <v>0</v>
      </c>
      <c r="F18" s="180">
        <v>5</v>
      </c>
      <c r="G18" s="180">
        <f t="shared" si="7"/>
        <v>0.007409932273219022</v>
      </c>
      <c r="H18" s="180">
        <v>66008</v>
      </c>
      <c r="I18" s="180">
        <f t="shared" si="0"/>
        <v>97.82296189812824</v>
      </c>
      <c r="J18" s="181">
        <v>3</v>
      </c>
      <c r="K18" s="181">
        <f t="shared" si="1"/>
        <v>0.004445959363931413</v>
      </c>
      <c r="L18" s="16">
        <f>SUM(C18-D18-F18-H18-J18)</f>
        <v>1461</v>
      </c>
      <c r="M18" s="155">
        <f t="shared" si="8"/>
        <v>2.1651822102345983</v>
      </c>
    </row>
    <row r="19" spans="2:13" s="182" customFormat="1" ht="12" customHeight="1">
      <c r="B19" s="179" t="s">
        <v>106</v>
      </c>
      <c r="C19" s="19">
        <v>27620</v>
      </c>
      <c r="D19" s="180"/>
      <c r="E19" s="20">
        <f t="shared" si="6"/>
        <v>0</v>
      </c>
      <c r="F19" s="180">
        <v>1</v>
      </c>
      <c r="G19" s="180">
        <f t="shared" si="7"/>
        <v>0.0036205648081100647</v>
      </c>
      <c r="H19" s="180">
        <v>17982</v>
      </c>
      <c r="I19" s="180">
        <f t="shared" si="0"/>
        <v>65.10499637943519</v>
      </c>
      <c r="J19" s="181"/>
      <c r="K19" s="181">
        <f t="shared" si="1"/>
        <v>0</v>
      </c>
      <c r="L19" s="16">
        <f>SUM(C19-D19-F19-H19-J19)</f>
        <v>9637</v>
      </c>
      <c r="M19" s="155">
        <f t="shared" si="8"/>
        <v>34.8913830557567</v>
      </c>
    </row>
    <row r="20" spans="2:13" s="182" customFormat="1" ht="12" customHeight="1" thickBot="1">
      <c r="B20" s="183" t="s">
        <v>26</v>
      </c>
      <c r="C20" s="116">
        <v>1716</v>
      </c>
      <c r="D20" s="184">
        <v>2007</v>
      </c>
      <c r="E20" s="185">
        <f t="shared" si="6"/>
        <v>116.95804195804196</v>
      </c>
      <c r="F20" s="184"/>
      <c r="G20" s="184">
        <f t="shared" si="7"/>
        <v>0</v>
      </c>
      <c r="H20" s="184">
        <v>2135</v>
      </c>
      <c r="I20" s="180">
        <f t="shared" si="0"/>
        <v>124.41724941724941</v>
      </c>
      <c r="J20" s="186"/>
      <c r="K20" s="181">
        <f t="shared" si="1"/>
        <v>0</v>
      </c>
      <c r="L20" s="16">
        <f>SUM(C20-D20-F20-H20-J20)</f>
        <v>-2426</v>
      </c>
      <c r="M20" s="187">
        <f t="shared" si="8"/>
        <v>-141.37529137529137</v>
      </c>
    </row>
    <row r="21" spans="2:13" s="34" customFormat="1" ht="12" customHeight="1" thickBot="1">
      <c r="B21" s="167" t="s">
        <v>35</v>
      </c>
      <c r="C21" s="24">
        <f>SUM(C16:C20)</f>
        <v>220811</v>
      </c>
      <c r="D21" s="24">
        <f>SUM(D16:D20)</f>
        <v>26074</v>
      </c>
      <c r="E21" s="24">
        <f t="shared" si="6"/>
        <v>11.80828853635009</v>
      </c>
      <c r="F21" s="24">
        <f>SUM(F16:F20)</f>
        <v>6</v>
      </c>
      <c r="G21" s="24">
        <f t="shared" si="7"/>
        <v>0.002717255933807646</v>
      </c>
      <c r="H21" s="24">
        <f>SUM(H16:H20)</f>
        <v>123119</v>
      </c>
      <c r="I21" s="24">
        <f aca="true" t="shared" si="9" ref="I21:I39">SUM(H21/C21)*100</f>
        <v>55.75763888574392</v>
      </c>
      <c r="J21" s="24">
        <f>SUM(J16:J20)</f>
        <v>3</v>
      </c>
      <c r="K21" s="24">
        <f aca="true" t="shared" si="10" ref="K21:K39">SUM(J21/C21)*100</f>
        <v>0.001358627966903823</v>
      </c>
      <c r="L21" s="24">
        <f>SUM(L16:L20)</f>
        <v>71609</v>
      </c>
      <c r="M21" s="156">
        <f t="shared" si="8"/>
        <v>32.42999669400528</v>
      </c>
    </row>
    <row r="22" spans="2:13" ht="12" customHeight="1">
      <c r="B22" s="188" t="s">
        <v>47</v>
      </c>
      <c r="C22" s="189">
        <v>750316.826</v>
      </c>
      <c r="D22" s="190">
        <f>78000-20000</f>
        <v>58000</v>
      </c>
      <c r="E22" s="190">
        <f t="shared" si="6"/>
        <v>7.730067884683156</v>
      </c>
      <c r="F22" s="190"/>
      <c r="G22" s="190">
        <f t="shared" si="7"/>
        <v>0</v>
      </c>
      <c r="H22" s="190"/>
      <c r="I22" s="190">
        <f>SUM(H22/C22)*100</f>
        <v>0</v>
      </c>
      <c r="J22" s="190">
        <v>12725.664</v>
      </c>
      <c r="K22" s="190">
        <f>SUM(J22/C22)*100</f>
        <v>1.696038734442562</v>
      </c>
      <c r="L22" s="190">
        <f>SUM(C22-D22-F22-H22-J22)</f>
        <v>679591.162</v>
      </c>
      <c r="M22" s="191">
        <f t="shared" si="8"/>
        <v>90.57389338087428</v>
      </c>
    </row>
    <row r="23" spans="2:13" ht="12" customHeight="1" thickBot="1">
      <c r="B23" s="160" t="s">
        <v>48</v>
      </c>
      <c r="C23" s="25">
        <f>1097754.174-35000</f>
        <v>1062754.174</v>
      </c>
      <c r="D23" s="26">
        <f>818000-78000-28000</f>
        <v>712000</v>
      </c>
      <c r="E23" s="26">
        <f t="shared" si="6"/>
        <v>66.9957378120822</v>
      </c>
      <c r="F23" s="26"/>
      <c r="G23" s="26">
        <f t="shared" si="7"/>
        <v>0</v>
      </c>
      <c r="H23" s="26"/>
      <c r="I23" s="26">
        <f>SUM(H23/C23)*100</f>
        <v>0</v>
      </c>
      <c r="J23" s="26">
        <v>18618.336</v>
      </c>
      <c r="K23" s="26">
        <f>SUM(J23/C23)*100</f>
        <v>1.751894883642207</v>
      </c>
      <c r="L23" s="26">
        <f>SUM(C23-D23-F23-H23-J23)</f>
        <v>332135.8380000001</v>
      </c>
      <c r="M23" s="161">
        <f t="shared" si="8"/>
        <v>31.252367304275587</v>
      </c>
    </row>
    <row r="24" spans="2:13" ht="12" customHeight="1" thickBot="1">
      <c r="B24" s="167" t="s">
        <v>49</v>
      </c>
      <c r="C24" s="24">
        <f>SUM(C22:C23)</f>
        <v>1813071</v>
      </c>
      <c r="D24" s="24">
        <f>SUM(D22:D23)</f>
        <v>770000</v>
      </c>
      <c r="E24" s="24">
        <f t="shared" si="6"/>
        <v>42.46937930174825</v>
      </c>
      <c r="F24" s="24">
        <f aca="true" t="shared" si="11" ref="F24:L24">SUM(F22:F23)</f>
        <v>0</v>
      </c>
      <c r="G24" s="24">
        <f t="shared" si="11"/>
        <v>0</v>
      </c>
      <c r="H24" s="24">
        <f t="shared" si="11"/>
        <v>0</v>
      </c>
      <c r="I24" s="24">
        <f t="shared" si="11"/>
        <v>0</v>
      </c>
      <c r="J24" s="24">
        <f t="shared" si="11"/>
        <v>31344</v>
      </c>
      <c r="K24" s="24">
        <f t="shared" si="11"/>
        <v>3.447933618084769</v>
      </c>
      <c r="L24" s="24">
        <f t="shared" si="11"/>
        <v>1011727.0000000001</v>
      </c>
      <c r="M24" s="156">
        <f t="shared" si="8"/>
        <v>55.80184118548033</v>
      </c>
    </row>
    <row r="25" spans="2:13" ht="12" customHeight="1">
      <c r="B25" s="168" t="s">
        <v>4</v>
      </c>
      <c r="C25" s="30">
        <f>777321+905138+157775+25577</f>
        <v>1865811</v>
      </c>
      <c r="D25" s="31">
        <v>53070</v>
      </c>
      <c r="E25" s="31">
        <f aca="true" t="shared" si="12" ref="E25:E45">SUM(D25/C25)*100</f>
        <v>2.8443395392137787</v>
      </c>
      <c r="F25" s="31">
        <f>322798+61809</f>
        <v>384607</v>
      </c>
      <c r="G25" s="31">
        <f aca="true" t="shared" si="13" ref="G25:G45">SUM(F25/C25)*100</f>
        <v>20.613395461812583</v>
      </c>
      <c r="H25" s="31">
        <v>25577</v>
      </c>
      <c r="I25" s="31">
        <f t="shared" si="9"/>
        <v>1.3708248048703753</v>
      </c>
      <c r="J25" s="31">
        <f>45256-4</f>
        <v>45252</v>
      </c>
      <c r="K25" s="31">
        <f t="shared" si="10"/>
        <v>2.425326037846277</v>
      </c>
      <c r="L25" s="31">
        <f>SUM(C25-D25-F25-H25-J25)</f>
        <v>1357305</v>
      </c>
      <c r="M25" s="174">
        <f aca="true" t="shared" si="14" ref="M25:M45">SUM(L25/C25)*100</f>
        <v>72.74611415625698</v>
      </c>
    </row>
    <row r="26" spans="2:13" ht="12" customHeight="1" thickBot="1">
      <c r="B26" s="154" t="s">
        <v>46</v>
      </c>
      <c r="C26" s="19">
        <v>1000</v>
      </c>
      <c r="D26" s="20"/>
      <c r="E26" s="20">
        <f t="shared" si="12"/>
        <v>0</v>
      </c>
      <c r="F26" s="20"/>
      <c r="G26" s="20">
        <f t="shared" si="13"/>
        <v>0</v>
      </c>
      <c r="H26" s="20"/>
      <c r="I26" s="20">
        <f t="shared" si="9"/>
        <v>0</v>
      </c>
      <c r="J26" s="20"/>
      <c r="K26" s="20">
        <f t="shared" si="10"/>
        <v>0</v>
      </c>
      <c r="L26" s="20">
        <f>SUM(C26-D26-F26-H26-J26)</f>
        <v>1000</v>
      </c>
      <c r="M26" s="155">
        <f t="shared" si="14"/>
        <v>100</v>
      </c>
    </row>
    <row r="27" spans="2:13" ht="12" customHeight="1" thickBot="1">
      <c r="B27" s="167" t="s">
        <v>37</v>
      </c>
      <c r="C27" s="24">
        <f>SUM(C25:C26)</f>
        <v>1866811</v>
      </c>
      <c r="D27" s="24">
        <f>SUM(D25:D26)</f>
        <v>53070</v>
      </c>
      <c r="E27" s="24">
        <f t="shared" si="12"/>
        <v>2.8428159036988747</v>
      </c>
      <c r="F27" s="24">
        <f>SUM(F25:F26)</f>
        <v>384607</v>
      </c>
      <c r="G27" s="24">
        <f t="shared" si="13"/>
        <v>20.602353425172662</v>
      </c>
      <c r="H27" s="24">
        <f>SUM(H25:H26)</f>
        <v>25577</v>
      </c>
      <c r="I27" s="24">
        <f t="shared" si="9"/>
        <v>1.3700904912173755</v>
      </c>
      <c r="J27" s="24">
        <f>SUM(J25)</f>
        <v>45252</v>
      </c>
      <c r="K27" s="24">
        <f t="shared" si="10"/>
        <v>2.424026856494846</v>
      </c>
      <c r="L27" s="24">
        <f>SUM(L25:L26)</f>
        <v>1358305</v>
      </c>
      <c r="M27" s="156">
        <f t="shared" si="14"/>
        <v>72.76071332341625</v>
      </c>
    </row>
    <row r="28" spans="2:13" s="106" customFormat="1" ht="12" customHeight="1" thickBot="1">
      <c r="B28" s="168" t="s">
        <v>7</v>
      </c>
      <c r="C28" s="30">
        <v>303468</v>
      </c>
      <c r="D28" s="31">
        <v>6000</v>
      </c>
      <c r="E28" s="31">
        <f t="shared" si="12"/>
        <v>1.977144212898889</v>
      </c>
      <c r="F28" s="31">
        <f>32210+48609+29332+1452+4452+46+703+2666+438+950+7000+447+535+83</f>
        <v>128923</v>
      </c>
      <c r="G28" s="31">
        <f t="shared" si="13"/>
        <v>42.483227226593904</v>
      </c>
      <c r="H28" s="31"/>
      <c r="I28" s="31">
        <f t="shared" si="9"/>
        <v>0</v>
      </c>
      <c r="J28" s="31">
        <f>15605-250</f>
        <v>15355</v>
      </c>
      <c r="K28" s="31">
        <f t="shared" si="10"/>
        <v>5.059841564843739</v>
      </c>
      <c r="L28" s="31">
        <f>SUM(C28-D28-F28-H28-J28)</f>
        <v>153190</v>
      </c>
      <c r="M28" s="174">
        <f t="shared" si="14"/>
        <v>50.47978699566347</v>
      </c>
    </row>
    <row r="29" spans="2:13" s="106" customFormat="1" ht="12" customHeight="1" thickBot="1">
      <c r="B29" s="167" t="s">
        <v>38</v>
      </c>
      <c r="C29" s="24">
        <f>SUM(C28)</f>
        <v>303468</v>
      </c>
      <c r="D29" s="118">
        <f>SUM(D28)</f>
        <v>6000</v>
      </c>
      <c r="E29" s="118">
        <f t="shared" si="12"/>
        <v>1.977144212898889</v>
      </c>
      <c r="F29" s="118">
        <f>SUM(F28)</f>
        <v>128923</v>
      </c>
      <c r="G29" s="118">
        <f t="shared" si="13"/>
        <v>42.483227226593904</v>
      </c>
      <c r="H29" s="118">
        <f>SUM(H28)</f>
        <v>0</v>
      </c>
      <c r="I29" s="118">
        <f t="shared" si="9"/>
        <v>0</v>
      </c>
      <c r="J29" s="118">
        <f>SUM(J28)</f>
        <v>15355</v>
      </c>
      <c r="K29" s="118">
        <f t="shared" si="10"/>
        <v>5.059841564843739</v>
      </c>
      <c r="L29" s="118">
        <f>SUM(L28)</f>
        <v>153190</v>
      </c>
      <c r="M29" s="163">
        <f t="shared" si="14"/>
        <v>50.47978699566347</v>
      </c>
    </row>
    <row r="30" spans="2:13" s="106" customFormat="1" ht="12" customHeight="1">
      <c r="B30" s="157" t="s">
        <v>8</v>
      </c>
      <c r="C30" s="15">
        <f>200000+2277+7290+4858+150+192-150-192+3405+3110</f>
        <v>220940</v>
      </c>
      <c r="D30" s="16">
        <v>724</v>
      </c>
      <c r="E30" s="16">
        <f t="shared" si="12"/>
        <v>0.32769077577622885</v>
      </c>
      <c r="F30" s="16">
        <f>64600+7290+4858+3405+3056</f>
        <v>83209</v>
      </c>
      <c r="G30" s="16">
        <f t="shared" si="13"/>
        <v>37.66135602425998</v>
      </c>
      <c r="H30" s="16"/>
      <c r="I30" s="16">
        <f t="shared" si="9"/>
        <v>0</v>
      </c>
      <c r="J30" s="16">
        <f>1798+2277-138</f>
        <v>3937</v>
      </c>
      <c r="K30" s="16">
        <f t="shared" si="10"/>
        <v>1.7819317461754323</v>
      </c>
      <c r="L30" s="16">
        <f>SUM(C30-D30-F30-H30-J30)</f>
        <v>133070</v>
      </c>
      <c r="M30" s="158">
        <f t="shared" si="14"/>
        <v>60.229021453788356</v>
      </c>
    </row>
    <row r="31" spans="2:13" s="106" customFormat="1" ht="12" customHeight="1">
      <c r="B31" s="154" t="s">
        <v>95</v>
      </c>
      <c r="C31" s="19">
        <f>90000+5870+84+49+3719+2461+33+2320</f>
        <v>104536</v>
      </c>
      <c r="D31" s="20">
        <v>14996</v>
      </c>
      <c r="E31" s="20">
        <f t="shared" si="12"/>
        <v>14.345297313844036</v>
      </c>
      <c r="F31" s="20">
        <f>22490+5870+84+49+3719+2461+33+2320+103</f>
        <v>37129</v>
      </c>
      <c r="G31" s="20">
        <f t="shared" si="13"/>
        <v>35.517907706436056</v>
      </c>
      <c r="H31" s="20"/>
      <c r="I31" s="16">
        <f t="shared" si="9"/>
        <v>0</v>
      </c>
      <c r="J31" s="16">
        <f>1625-103</f>
        <v>1522</v>
      </c>
      <c r="K31" s="16">
        <f t="shared" si="10"/>
        <v>1.4559577561796893</v>
      </c>
      <c r="L31" s="16">
        <f aca="true" t="shared" si="15" ref="L31:L39">SUM(C31-D31-F31-H31-J31)</f>
        <v>50889</v>
      </c>
      <c r="M31" s="155">
        <f t="shared" si="14"/>
        <v>48.680837223540216</v>
      </c>
    </row>
    <row r="32" spans="2:13" s="106" customFormat="1" ht="12" customHeight="1">
      <c r="B32" s="154" t="s">
        <v>96</v>
      </c>
      <c r="C32" s="19">
        <f>46149-8148+1666+1080+672+575</f>
        <v>41994</v>
      </c>
      <c r="D32" s="20">
        <v>11667</v>
      </c>
      <c r="E32" s="20">
        <f t="shared" si="12"/>
        <v>27.782540362908986</v>
      </c>
      <c r="F32" s="20">
        <f>15432+9406+1666+409+1080+672+575+25</f>
        <v>29265</v>
      </c>
      <c r="G32" s="20">
        <f t="shared" si="13"/>
        <v>69.68852693241891</v>
      </c>
      <c r="H32" s="20"/>
      <c r="I32" s="16">
        <f t="shared" si="9"/>
        <v>0</v>
      </c>
      <c r="J32" s="16">
        <f>469-25</f>
        <v>444</v>
      </c>
      <c r="K32" s="16">
        <f t="shared" si="10"/>
        <v>1.057293899128447</v>
      </c>
      <c r="L32" s="16">
        <f t="shared" si="15"/>
        <v>618</v>
      </c>
      <c r="M32" s="155">
        <f t="shared" si="14"/>
        <v>1.4716388055436491</v>
      </c>
    </row>
    <row r="33" spans="2:13" s="106" customFormat="1" ht="12" customHeight="1">
      <c r="B33" s="154" t="s">
        <v>9</v>
      </c>
      <c r="C33" s="19">
        <f>100000+879+517+19050+338+325</f>
        <v>121109</v>
      </c>
      <c r="D33" s="20">
        <v>26015</v>
      </c>
      <c r="E33" s="20">
        <f t="shared" si="12"/>
        <v>21.480649662700543</v>
      </c>
      <c r="F33" s="20">
        <f>22876+879+517+338+325+14</f>
        <v>24949</v>
      </c>
      <c r="G33" s="20">
        <f t="shared" si="13"/>
        <v>20.600450833546642</v>
      </c>
      <c r="H33" s="20"/>
      <c r="I33" s="16">
        <f t="shared" si="9"/>
        <v>0</v>
      </c>
      <c r="J33" s="16">
        <f>87-14</f>
        <v>73</v>
      </c>
      <c r="K33" s="16">
        <f t="shared" si="10"/>
        <v>0.060276280045248494</v>
      </c>
      <c r="L33" s="16">
        <f t="shared" si="15"/>
        <v>70072</v>
      </c>
      <c r="M33" s="155">
        <f t="shared" si="14"/>
        <v>57.858623223707575</v>
      </c>
    </row>
    <row r="34" spans="2:13" s="106" customFormat="1" ht="12" customHeight="1">
      <c r="B34" s="154" t="s">
        <v>10</v>
      </c>
      <c r="C34" s="19">
        <f>1500+101+70+45+44</f>
        <v>1760</v>
      </c>
      <c r="D34" s="20"/>
      <c r="E34" s="20">
        <f t="shared" si="12"/>
        <v>0</v>
      </c>
      <c r="F34" s="20">
        <f>101+70+45+44+2</f>
        <v>262</v>
      </c>
      <c r="G34" s="20">
        <f t="shared" si="13"/>
        <v>14.886363636363637</v>
      </c>
      <c r="H34" s="20"/>
      <c r="I34" s="16">
        <f t="shared" si="9"/>
        <v>0</v>
      </c>
      <c r="J34" s="16">
        <f>62-2</f>
        <v>60</v>
      </c>
      <c r="K34" s="16">
        <f t="shared" si="10"/>
        <v>3.4090909090909087</v>
      </c>
      <c r="L34" s="16">
        <f t="shared" si="15"/>
        <v>1438</v>
      </c>
      <c r="M34" s="155">
        <f t="shared" si="14"/>
        <v>81.70454545454545</v>
      </c>
    </row>
    <row r="35" spans="2:13" s="106" customFormat="1" ht="12" customHeight="1">
      <c r="B35" s="154" t="s">
        <v>93</v>
      </c>
      <c r="C35" s="19">
        <f>90000+6380+3785+2763+2655</f>
        <v>105583</v>
      </c>
      <c r="D35" s="20"/>
      <c r="E35" s="20">
        <f t="shared" si="12"/>
        <v>0</v>
      </c>
      <c r="F35" s="20">
        <f>10560+6380+3785+2763+2655+117</f>
        <v>26260</v>
      </c>
      <c r="G35" s="20">
        <f t="shared" si="13"/>
        <v>24.87142816551907</v>
      </c>
      <c r="H35" s="20"/>
      <c r="I35" s="16">
        <f t="shared" si="9"/>
        <v>0</v>
      </c>
      <c r="J35" s="16">
        <f>752-117</f>
        <v>635</v>
      </c>
      <c r="K35" s="16">
        <f t="shared" si="10"/>
        <v>0.6014225774982715</v>
      </c>
      <c r="L35" s="16">
        <f t="shared" si="15"/>
        <v>78688</v>
      </c>
      <c r="M35" s="155">
        <f t="shared" si="14"/>
        <v>74.52714925698267</v>
      </c>
    </row>
    <row r="36" spans="2:13" s="106" customFormat="1" ht="12" customHeight="1">
      <c r="B36" s="154" t="s">
        <v>11</v>
      </c>
      <c r="C36" s="19">
        <f>290000+3440+18023+2319+1048+1348</f>
        <v>316178</v>
      </c>
      <c r="D36" s="20">
        <v>8598</v>
      </c>
      <c r="E36" s="20">
        <f t="shared" si="12"/>
        <v>2.7193542877746077</v>
      </c>
      <c r="F36" s="20">
        <f>7480+3440+2319+1048+1348+57</f>
        <v>15692</v>
      </c>
      <c r="G36" s="20">
        <f t="shared" si="13"/>
        <v>4.963027155589573</v>
      </c>
      <c r="H36" s="20"/>
      <c r="I36" s="16">
        <f t="shared" si="9"/>
        <v>0</v>
      </c>
      <c r="J36" s="16">
        <f>387+18023-57</f>
        <v>18353</v>
      </c>
      <c r="K36" s="16">
        <f t="shared" si="10"/>
        <v>5.804641689175085</v>
      </c>
      <c r="L36" s="16">
        <f t="shared" si="15"/>
        <v>273535</v>
      </c>
      <c r="M36" s="155">
        <f t="shared" si="14"/>
        <v>86.51297686746074</v>
      </c>
    </row>
    <row r="37" spans="2:13" s="106" customFormat="1" ht="12" customHeight="1">
      <c r="B37" s="159" t="s">
        <v>94</v>
      </c>
      <c r="C37" s="116">
        <f>50000+3047+1939+1069+1020</f>
        <v>57075</v>
      </c>
      <c r="D37" s="185"/>
      <c r="E37" s="185">
        <f t="shared" si="12"/>
        <v>0</v>
      </c>
      <c r="F37" s="185">
        <f>18+3047+1939+1069+1020+45</f>
        <v>7138</v>
      </c>
      <c r="G37" s="20">
        <f t="shared" si="13"/>
        <v>12.50635129215944</v>
      </c>
      <c r="H37" s="185"/>
      <c r="I37" s="31">
        <f t="shared" si="9"/>
        <v>0</v>
      </c>
      <c r="J37" s="31">
        <f>1092-45</f>
        <v>1047</v>
      </c>
      <c r="K37" s="16">
        <f t="shared" si="10"/>
        <v>1.8344283837056503</v>
      </c>
      <c r="L37" s="16">
        <f t="shared" si="15"/>
        <v>48890</v>
      </c>
      <c r="M37" s="155">
        <f t="shared" si="14"/>
        <v>85.6592203241349</v>
      </c>
    </row>
    <row r="38" spans="2:13" s="106" customFormat="1" ht="12" customHeight="1">
      <c r="B38" s="159" t="s">
        <v>51</v>
      </c>
      <c r="C38" s="116">
        <f>15000+619+388+254+255</f>
        <v>16516</v>
      </c>
      <c r="D38" s="185"/>
      <c r="E38" s="185">
        <f t="shared" si="12"/>
        <v>0</v>
      </c>
      <c r="F38" s="185">
        <f>619+388+254+255+11</f>
        <v>1527</v>
      </c>
      <c r="G38" s="20">
        <f t="shared" si="13"/>
        <v>9.24558004359409</v>
      </c>
      <c r="H38" s="185"/>
      <c r="I38" s="20">
        <f t="shared" si="9"/>
        <v>0</v>
      </c>
      <c r="J38" s="20">
        <f>104-11</f>
        <v>93</v>
      </c>
      <c r="K38" s="20">
        <f t="shared" si="10"/>
        <v>0.563090336643255</v>
      </c>
      <c r="L38" s="16">
        <f t="shared" si="15"/>
        <v>14896</v>
      </c>
      <c r="M38" s="155">
        <f t="shared" si="14"/>
        <v>90.19132961976266</v>
      </c>
    </row>
    <row r="39" spans="2:13" s="106" customFormat="1" ht="12" customHeight="1" thickBot="1">
      <c r="B39" s="160" t="s">
        <v>97</v>
      </c>
      <c r="C39" s="25">
        <f>20000+2014+1278+837+838</f>
        <v>24967</v>
      </c>
      <c r="D39" s="26"/>
      <c r="E39" s="26">
        <f t="shared" si="12"/>
        <v>0</v>
      </c>
      <c r="F39" s="26">
        <f>10036+2014+1278+837+838+36</f>
        <v>15039</v>
      </c>
      <c r="G39" s="26">
        <f t="shared" si="13"/>
        <v>60.23551087435415</v>
      </c>
      <c r="H39" s="26"/>
      <c r="I39" s="26">
        <f t="shared" si="9"/>
        <v>0</v>
      </c>
      <c r="J39" s="26">
        <f>278-36</f>
        <v>242</v>
      </c>
      <c r="K39" s="26">
        <f t="shared" si="10"/>
        <v>0.9692794488725117</v>
      </c>
      <c r="L39" s="26">
        <f t="shared" si="15"/>
        <v>9686</v>
      </c>
      <c r="M39" s="161">
        <f t="shared" si="14"/>
        <v>38.79520967677334</v>
      </c>
    </row>
    <row r="40" spans="2:13" s="34" customFormat="1" ht="12" customHeight="1" thickBot="1">
      <c r="B40" s="162" t="s">
        <v>39</v>
      </c>
      <c r="C40" s="24">
        <f>SUM(C30:C39)</f>
        <v>1010658</v>
      </c>
      <c r="D40" s="118">
        <f>SUM(D30:D39)</f>
        <v>62000</v>
      </c>
      <c r="E40" s="118">
        <f t="shared" si="12"/>
        <v>6.13461724935636</v>
      </c>
      <c r="F40" s="118">
        <f>SUM(F30:F39)</f>
        <v>240470</v>
      </c>
      <c r="G40" s="118">
        <f t="shared" si="13"/>
        <v>23.79340983794716</v>
      </c>
      <c r="H40" s="118">
        <f>SUM(H30:H39)</f>
        <v>0</v>
      </c>
      <c r="I40" s="118">
        <f aca="true" t="shared" si="16" ref="I40:I45">SUM(H40/C40)*100</f>
        <v>0</v>
      </c>
      <c r="J40" s="118">
        <f>SUM(J30:J39)</f>
        <v>26406</v>
      </c>
      <c r="K40" s="118">
        <f aca="true" t="shared" si="17" ref="K40:K45">SUM(J40/C40)*100</f>
        <v>2.6127532755887746</v>
      </c>
      <c r="L40" s="118">
        <f>SUM(L30:L39)</f>
        <v>681782</v>
      </c>
      <c r="M40" s="163">
        <f t="shared" si="14"/>
        <v>67.45921963710771</v>
      </c>
    </row>
    <row r="41" spans="2:13" s="34" customFormat="1" ht="12" customHeight="1" thickBot="1">
      <c r="B41" s="170" t="s">
        <v>41</v>
      </c>
      <c r="C41" s="207">
        <v>227833</v>
      </c>
      <c r="D41" s="171">
        <v>4800</v>
      </c>
      <c r="E41" s="171">
        <f t="shared" si="12"/>
        <v>2.1068063011065123</v>
      </c>
      <c r="F41" s="171">
        <f>93584+8661+1564+4797-3+3927-437+200+7000-3145</f>
        <v>116148</v>
      </c>
      <c r="G41" s="171">
        <f t="shared" si="13"/>
        <v>50.97944547102483</v>
      </c>
      <c r="H41" s="171"/>
      <c r="I41" s="171">
        <f t="shared" si="16"/>
        <v>0</v>
      </c>
      <c r="J41" s="171">
        <f>10802+82</f>
        <v>10884</v>
      </c>
      <c r="K41" s="118">
        <f t="shared" si="17"/>
        <v>4.777183287759017</v>
      </c>
      <c r="L41" s="171">
        <f>SUM(C41-D41-F41-H41-J41)</f>
        <v>96001</v>
      </c>
      <c r="M41" s="172">
        <f t="shared" si="14"/>
        <v>42.13656494010964</v>
      </c>
    </row>
    <row r="42" spans="2:13" s="34" customFormat="1" ht="12" customHeight="1" thickBot="1">
      <c r="B42" s="167" t="s">
        <v>42</v>
      </c>
      <c r="C42" s="24">
        <v>130310</v>
      </c>
      <c r="D42" s="118">
        <v>3000</v>
      </c>
      <c r="E42" s="118">
        <f t="shared" si="12"/>
        <v>2.302202440334587</v>
      </c>
      <c r="F42" s="118">
        <f>52009+4330+1181+3622+19+2282+8+127+2598-1+7000+6+4-1799</f>
        <v>71386</v>
      </c>
      <c r="G42" s="118">
        <f t="shared" si="13"/>
        <v>54.781674468574934</v>
      </c>
      <c r="H42" s="118"/>
      <c r="I42" s="118">
        <f t="shared" si="16"/>
        <v>0</v>
      </c>
      <c r="J42" s="118">
        <f>8537+786</f>
        <v>9323</v>
      </c>
      <c r="K42" s="208">
        <f t="shared" si="17"/>
        <v>7.154477783746451</v>
      </c>
      <c r="L42" s="118">
        <f>SUM(C42-D42-F42-H42-J42)</f>
        <v>46601</v>
      </c>
      <c r="M42" s="173">
        <f t="shared" si="14"/>
        <v>35.761645307344025</v>
      </c>
    </row>
    <row r="43" spans="2:13" s="34" customFormat="1" ht="12" customHeight="1" thickBot="1">
      <c r="B43" s="167" t="s">
        <v>43</v>
      </c>
      <c r="C43" s="24">
        <v>213528</v>
      </c>
      <c r="D43" s="118">
        <v>5500</v>
      </c>
      <c r="E43" s="118">
        <f t="shared" si="12"/>
        <v>2.575774605672324</v>
      </c>
      <c r="F43" s="118">
        <f>87217+7795+1608+4932+5+3604-360+200+7000-2947</f>
        <v>109054</v>
      </c>
      <c r="G43" s="118">
        <f t="shared" si="13"/>
        <v>51.07245888127084</v>
      </c>
      <c r="H43" s="118"/>
      <c r="I43" s="118">
        <f t="shared" si="16"/>
        <v>0</v>
      </c>
      <c r="J43" s="118">
        <f>11035+407</f>
        <v>11442</v>
      </c>
      <c r="K43" s="208">
        <f t="shared" si="17"/>
        <v>5.3585478251095875</v>
      </c>
      <c r="L43" s="118">
        <f>SUM(C43-D43-F43-H43-J43)</f>
        <v>87532</v>
      </c>
      <c r="M43" s="173">
        <f t="shared" si="14"/>
        <v>40.99321868794725</v>
      </c>
    </row>
    <row r="44" spans="2:13" s="34" customFormat="1" ht="12" customHeight="1" thickBot="1">
      <c r="B44" s="170" t="s">
        <v>44</v>
      </c>
      <c r="C44" s="207">
        <v>178266</v>
      </c>
      <c r="D44" s="171">
        <v>3500</v>
      </c>
      <c r="E44" s="171">
        <f t="shared" si="12"/>
        <v>1.9633581277416892</v>
      </c>
      <c r="F44" s="171">
        <f>76299+5196+986+3024+1+3077+200+7936-2461</f>
        <v>94258</v>
      </c>
      <c r="G44" s="171">
        <f t="shared" si="13"/>
        <v>52.8749172584789</v>
      </c>
      <c r="H44" s="171"/>
      <c r="I44" s="171">
        <f t="shared" si="16"/>
        <v>0</v>
      </c>
      <c r="J44" s="171">
        <f>16865-15436</f>
        <v>1429</v>
      </c>
      <c r="K44" s="118">
        <f t="shared" si="17"/>
        <v>0.8016110755836784</v>
      </c>
      <c r="L44" s="171">
        <f>SUM(C44-D44-F44-H44-J44)</f>
        <v>79079</v>
      </c>
      <c r="M44" s="172">
        <f t="shared" si="14"/>
        <v>44.360113538195726</v>
      </c>
    </row>
    <row r="45" spans="2:13" s="74" customFormat="1" ht="12" customHeight="1" thickBot="1">
      <c r="B45" s="164" t="s">
        <v>17</v>
      </c>
      <c r="C45" s="24">
        <f>SUM(C40,C29,C27,C21,C15,C41,C42,C43,C44,C24)</f>
        <v>12903895</v>
      </c>
      <c r="D45" s="24">
        <f>SUM(D40,D29,D27,D21,D15,D41,D42,D43,D44,D24)</f>
        <v>6847219</v>
      </c>
      <c r="E45" s="24">
        <f t="shared" si="12"/>
        <v>53.063195260035826</v>
      </c>
      <c r="F45" s="24">
        <f>SUM(F40,F29,F27,F21,F15,F41,F42,F43,F44,F24)</f>
        <v>1215462</v>
      </c>
      <c r="G45" s="24">
        <f t="shared" si="13"/>
        <v>9.419341989376075</v>
      </c>
      <c r="H45" s="24">
        <f>SUM(H40,H29,H27,H21,H15,H41,H42,H43,H44)</f>
        <v>148696</v>
      </c>
      <c r="I45" s="24">
        <f t="shared" si="16"/>
        <v>1.1523342370656302</v>
      </c>
      <c r="J45" s="24">
        <f>SUM(J40,J29,J27,J21,J15,J41,J42,J43,J44,J24)</f>
        <v>151438</v>
      </c>
      <c r="K45" s="118">
        <f t="shared" si="17"/>
        <v>1.1735836350187288</v>
      </c>
      <c r="L45" s="24">
        <f>SUM(L40,L29,L27,L21,L15,L41,L42,L43,L44,L24)</f>
        <v>4541080</v>
      </c>
      <c r="M45" s="156">
        <f t="shared" si="14"/>
        <v>35.19154487850374</v>
      </c>
    </row>
  </sheetData>
  <sheetProtection/>
  <mergeCells count="2">
    <mergeCell ref="B2:M2"/>
    <mergeCell ref="L1:M1"/>
  </mergeCells>
  <printOptions/>
  <pageMargins left="0.15748031496062992" right="0.15748031496062992" top="0.5905511811023623" bottom="0.3937007874015748" header="0.2755905511811024" footer="0.5118110236220472"/>
  <pageSetup fitToHeight="1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6.00390625" style="75" customWidth="1"/>
    <col min="2" max="2" width="12.625" style="75" customWidth="1"/>
    <col min="3" max="3" width="11.25390625" style="75" customWidth="1"/>
    <col min="4" max="4" width="10.125" style="114" customWidth="1"/>
    <col min="5" max="5" width="11.375" style="75" customWidth="1"/>
    <col min="6" max="6" width="10.375" style="75" customWidth="1"/>
    <col min="7" max="7" width="11.875" style="75" customWidth="1"/>
    <col min="8" max="8" width="9.375" style="75" customWidth="1"/>
    <col min="9" max="9" width="11.25390625" style="75" customWidth="1"/>
    <col min="10" max="10" width="9.75390625" style="75" customWidth="1"/>
    <col min="11" max="11" width="11.75390625" style="75" customWidth="1"/>
    <col min="12" max="12" width="13.375" style="75" customWidth="1"/>
    <col min="13" max="16384" width="9.125" style="75" customWidth="1"/>
  </cols>
  <sheetData>
    <row r="1" spans="1:12" ht="12.75">
      <c r="A1" s="35"/>
      <c r="B1" s="35"/>
      <c r="C1" s="35"/>
      <c r="D1" s="109"/>
      <c r="E1" s="35"/>
      <c r="F1" s="35"/>
      <c r="G1" s="35"/>
      <c r="H1" s="35"/>
      <c r="I1" s="35"/>
      <c r="J1" s="35"/>
      <c r="K1" s="192" t="s">
        <v>29</v>
      </c>
      <c r="L1" s="192"/>
    </row>
    <row r="2" spans="1:12" ht="12.75">
      <c r="A2" s="193" t="s">
        <v>114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3.75" customHeight="1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3.5" thickBot="1">
      <c r="A4" s="90"/>
      <c r="B4" s="90"/>
      <c r="C4" s="90"/>
      <c r="D4" s="110"/>
      <c r="E4" s="91"/>
      <c r="F4" s="92"/>
      <c r="G4" s="91"/>
      <c r="H4" s="92"/>
      <c r="I4" s="92"/>
      <c r="J4" s="92"/>
      <c r="K4" s="93"/>
      <c r="L4" s="52" t="s">
        <v>0</v>
      </c>
    </row>
    <row r="5" spans="1:12" ht="92.25" customHeight="1" thickBot="1">
      <c r="A5" s="94" t="s">
        <v>3</v>
      </c>
      <c r="B5" s="95" t="s">
        <v>66</v>
      </c>
      <c r="C5" s="95" t="s">
        <v>77</v>
      </c>
      <c r="D5" s="111" t="s">
        <v>67</v>
      </c>
      <c r="E5" s="95" t="s">
        <v>99</v>
      </c>
      <c r="F5" s="96" t="s">
        <v>68</v>
      </c>
      <c r="G5" s="95" t="s">
        <v>78</v>
      </c>
      <c r="H5" s="96" t="s">
        <v>70</v>
      </c>
      <c r="I5" s="96" t="s">
        <v>73</v>
      </c>
      <c r="J5" s="96" t="s">
        <v>45</v>
      </c>
      <c r="K5" s="97" t="s">
        <v>71</v>
      </c>
      <c r="L5" s="98" t="s">
        <v>72</v>
      </c>
    </row>
    <row r="6" spans="1:12" ht="12.75">
      <c r="A6" s="76" t="s">
        <v>74</v>
      </c>
      <c r="B6" s="119"/>
      <c r="C6" s="119"/>
      <c r="D6" s="120"/>
      <c r="E6" s="16"/>
      <c r="F6" s="17"/>
      <c r="G6" s="16"/>
      <c r="H6" s="17"/>
      <c r="I6" s="16"/>
      <c r="J6" s="17"/>
      <c r="K6" s="20"/>
      <c r="L6" s="18"/>
    </row>
    <row r="7" spans="1:12" ht="12.75">
      <c r="A7" s="14" t="s">
        <v>75</v>
      </c>
      <c r="B7" s="119">
        <f>49684-302</f>
        <v>49382</v>
      </c>
      <c r="C7" s="119"/>
      <c r="D7" s="120"/>
      <c r="E7" s="16"/>
      <c r="F7" s="17"/>
      <c r="G7" s="16"/>
      <c r="H7" s="17"/>
      <c r="I7" s="16">
        <f>49684-302</f>
        <v>49382</v>
      </c>
      <c r="J7" s="17"/>
      <c r="K7" s="20"/>
      <c r="L7" s="18"/>
    </row>
    <row r="8" spans="1:12" ht="12.75">
      <c r="A8" s="14" t="s">
        <v>76</v>
      </c>
      <c r="B8" s="89">
        <f>8000+181626+1454+412+8133+297+8253+15386</f>
        <v>223561</v>
      </c>
      <c r="C8" s="89">
        <v>9919</v>
      </c>
      <c r="D8" s="112">
        <f>SUM(C8/B8)*100</f>
        <v>4.436820375646915</v>
      </c>
      <c r="E8" s="20">
        <v>181626</v>
      </c>
      <c r="F8" s="21">
        <f>SUM(E8/B8)*100</f>
        <v>81.24225602855596</v>
      </c>
      <c r="G8" s="20">
        <v>8000</v>
      </c>
      <c r="H8" s="21">
        <f>SUM(G8/B8*100)</f>
        <v>3.578441678110225</v>
      </c>
      <c r="I8" s="20"/>
      <c r="J8" s="17">
        <f>SUM(I8/B8*100)</f>
        <v>0</v>
      </c>
      <c r="K8" s="20">
        <f>SUM(B8-C8-E8-G8-I8)</f>
        <v>24016</v>
      </c>
      <c r="L8" s="22">
        <f>SUM(K8/B8)*100</f>
        <v>10.742481917686895</v>
      </c>
    </row>
    <row r="9" spans="1:12" ht="12.75">
      <c r="A9" s="77" t="s">
        <v>79</v>
      </c>
      <c r="B9" s="89"/>
      <c r="C9" s="89"/>
      <c r="D9" s="112"/>
      <c r="E9" s="20"/>
      <c r="F9" s="21"/>
      <c r="G9" s="20"/>
      <c r="H9" s="21"/>
      <c r="I9" s="20"/>
      <c r="J9" s="17"/>
      <c r="K9" s="20"/>
      <c r="L9" s="22"/>
    </row>
    <row r="10" spans="1:12" ht="12.75">
      <c r="A10" s="14" t="s">
        <v>75</v>
      </c>
      <c r="B10" s="89">
        <f>4309405+4276+153+3656+3901+18400+16800+15000+1825+3015+442190+19114+19241</f>
        <v>4856976</v>
      </c>
      <c r="C10" s="89"/>
      <c r="D10" s="112">
        <f>SUM(C10/B10)*100</f>
        <v>0</v>
      </c>
      <c r="E10" s="20"/>
      <c r="F10" s="21">
        <f>SUM(E10/B10)*100</f>
        <v>0</v>
      </c>
      <c r="G10" s="20"/>
      <c r="H10" s="21">
        <f aca="true" t="shared" si="0" ref="H10:H18">SUM(G10/B10*100)</f>
        <v>0</v>
      </c>
      <c r="I10" s="20">
        <f>4309405+547571</f>
        <v>4856976</v>
      </c>
      <c r="J10" s="17">
        <f>SUM(I10/B10*100)</f>
        <v>100</v>
      </c>
      <c r="K10" s="20">
        <f>SUM(B10-C10-E10-G10-I10)</f>
        <v>0</v>
      </c>
      <c r="L10" s="22">
        <f>SUM(K10/B10)*100</f>
        <v>0</v>
      </c>
    </row>
    <row r="11" spans="1:12" ht="12.75">
      <c r="A11" s="14" t="s">
        <v>100</v>
      </c>
      <c r="B11" s="89">
        <f>10000+5969+4285+1593+4000+5000+510000+262240+1000000+139712+20955+90761+23653+12700+26162+3175+7303+62226+7000+13272+5525+6668+5271+240000+4445+15000+110000+9943+201911</f>
        <v>2808769</v>
      </c>
      <c r="C11" s="89">
        <f>235645+685039+401035+329748+485062</f>
        <v>2136529</v>
      </c>
      <c r="D11" s="112">
        <f>SUM(C11/B11)*100</f>
        <v>76.06638352958181</v>
      </c>
      <c r="E11" s="20">
        <f>300000+262240+110000</f>
        <v>672240</v>
      </c>
      <c r="F11" s="21">
        <f>SUM(E11/B11)*100</f>
        <v>23.93361647041818</v>
      </c>
      <c r="G11" s="20"/>
      <c r="H11" s="21">
        <f>SUM(G11/B11*100)</f>
        <v>0</v>
      </c>
      <c r="I11" s="20"/>
      <c r="J11" s="17">
        <f>SUM(I11/B11*100)</f>
        <v>0</v>
      </c>
      <c r="K11" s="20">
        <f>SUM(B11-C11-E11-G11-I11)</f>
        <v>0</v>
      </c>
      <c r="L11" s="22">
        <f>SUM(K11/B11)*100</f>
        <v>0</v>
      </c>
    </row>
    <row r="12" spans="1:12" ht="12.75">
      <c r="A12" s="77" t="s">
        <v>80</v>
      </c>
      <c r="B12" s="89"/>
      <c r="C12" s="89"/>
      <c r="D12" s="112"/>
      <c r="E12" s="20"/>
      <c r="F12" s="21"/>
      <c r="G12" s="20"/>
      <c r="H12" s="21"/>
      <c r="I12" s="20"/>
      <c r="J12" s="17"/>
      <c r="K12" s="20"/>
      <c r="L12" s="99"/>
    </row>
    <row r="13" spans="1:12" ht="12.75">
      <c r="A13" s="14" t="s">
        <v>75</v>
      </c>
      <c r="B13" s="89">
        <f>846649+41973+2060+150</f>
        <v>890832</v>
      </c>
      <c r="C13" s="89"/>
      <c r="D13" s="112">
        <f>SUM(C13/B13)*100</f>
        <v>0</v>
      </c>
      <c r="E13" s="20"/>
      <c r="F13" s="21">
        <f>SUM(E13/B13)*100</f>
        <v>0</v>
      </c>
      <c r="G13" s="20"/>
      <c r="H13" s="21">
        <f>SUM(G13/B13*100)</f>
        <v>0</v>
      </c>
      <c r="I13" s="20">
        <f>846649+41973</f>
        <v>888622</v>
      </c>
      <c r="J13" s="17">
        <f>SUM(I13/B13*100)</f>
        <v>99.75191730876305</v>
      </c>
      <c r="K13" s="20">
        <f>SUM(B13-C13-E13-G13-I13)</f>
        <v>2210</v>
      </c>
      <c r="L13" s="22">
        <f>SUM(K13/B13)*100</f>
        <v>0.24808269123695603</v>
      </c>
    </row>
    <row r="14" spans="1:12" ht="12.75">
      <c r="A14" s="14" t="s">
        <v>76</v>
      </c>
      <c r="B14" s="89">
        <f>414350-1454+150-412-150-297+2500+150+2540+750+669</f>
        <v>418796</v>
      </c>
      <c r="C14" s="89">
        <f>898191-485062-9919</f>
        <v>403210</v>
      </c>
      <c r="D14" s="112">
        <f>SUM(C14/B14)*100</f>
        <v>96.27837897210098</v>
      </c>
      <c r="E14" s="20">
        <v>866</v>
      </c>
      <c r="F14" s="21">
        <f>SUM(E14/B14)*100</f>
        <v>0.2067832548543921</v>
      </c>
      <c r="G14" s="20">
        <f>8726+5994-5977</f>
        <v>8743</v>
      </c>
      <c r="H14" s="21">
        <f>SUM(G14/B14*100)</f>
        <v>2.0876512669653007</v>
      </c>
      <c r="I14" s="20"/>
      <c r="J14" s="17">
        <f>SUM(I14/B14*100)</f>
        <v>0</v>
      </c>
      <c r="K14" s="20">
        <f>SUM(B14-C14-E14-G14-I14)</f>
        <v>5977</v>
      </c>
      <c r="L14" s="22">
        <f>SUM(K14/B14)*100</f>
        <v>1.427186506079332</v>
      </c>
    </row>
    <row r="15" spans="1:12" ht="12.75">
      <c r="A15" s="77" t="s">
        <v>81</v>
      </c>
      <c r="B15" s="89"/>
      <c r="C15" s="89"/>
      <c r="D15" s="112"/>
      <c r="E15" s="20"/>
      <c r="F15" s="21"/>
      <c r="G15" s="20"/>
      <c r="H15" s="21"/>
      <c r="I15" s="20"/>
      <c r="J15" s="17"/>
      <c r="K15" s="20"/>
      <c r="L15" s="22"/>
    </row>
    <row r="16" spans="1:12" ht="12.75">
      <c r="A16" s="14" t="s">
        <v>76</v>
      </c>
      <c r="B16" s="89">
        <v>10000</v>
      </c>
      <c r="C16" s="89"/>
      <c r="D16" s="112">
        <f>SUM(C16/B16)*100</f>
        <v>0</v>
      </c>
      <c r="E16" s="20"/>
      <c r="F16" s="21">
        <f>SUM(E16/B16)*100</f>
        <v>0</v>
      </c>
      <c r="G16" s="20">
        <v>10000</v>
      </c>
      <c r="H16" s="21">
        <f t="shared" si="0"/>
        <v>100</v>
      </c>
      <c r="I16" s="20"/>
      <c r="J16" s="17">
        <f>SUM(I16/B16*100)</f>
        <v>0</v>
      </c>
      <c r="K16" s="20">
        <f>SUM(B16-C16-E16-G16-I16)</f>
        <v>0</v>
      </c>
      <c r="L16" s="22">
        <f>SUM(K16/B16)*100</f>
        <v>0</v>
      </c>
    </row>
    <row r="17" spans="1:12" ht="13.5" thickBot="1">
      <c r="A17" s="78" t="s">
        <v>82</v>
      </c>
      <c r="B17" s="100">
        <v>9004628</v>
      </c>
      <c r="C17" s="100"/>
      <c r="D17" s="113">
        <f>SUM(C17/B17)*100</f>
        <v>0</v>
      </c>
      <c r="E17" s="31">
        <f>2824833+3119615-866</f>
        <v>5943582</v>
      </c>
      <c r="F17" s="32">
        <f>SUM(E17/B17)*100</f>
        <v>66.00585832085456</v>
      </c>
      <c r="G17" s="31"/>
      <c r="H17" s="32">
        <f t="shared" si="0"/>
        <v>0</v>
      </c>
      <c r="I17" s="31">
        <f>334999+29398-200188</f>
        <v>164209</v>
      </c>
      <c r="J17" s="32">
        <f>SUM(I17/B17*100)</f>
        <v>1.823606705351959</v>
      </c>
      <c r="K17" s="31">
        <f>SUM(B17-C17-E17-G17-I17)</f>
        <v>2896837</v>
      </c>
      <c r="L17" s="33">
        <f>SUM(K17/B17)*100</f>
        <v>32.17053497379347</v>
      </c>
    </row>
    <row r="18" spans="1:12" s="29" customFormat="1" ht="13.5" thickBot="1">
      <c r="A18" s="27" t="s">
        <v>36</v>
      </c>
      <c r="B18" s="101">
        <f>SUM(B6:B17)</f>
        <v>18262944</v>
      </c>
      <c r="C18" s="101">
        <f>SUM(C6:C17)</f>
        <v>2549658</v>
      </c>
      <c r="D18" s="108">
        <f>SUM(C18/B18)*100</f>
        <v>13.960826907206197</v>
      </c>
      <c r="E18" s="101">
        <f>SUM(E8:E17)</f>
        <v>6798314</v>
      </c>
      <c r="F18" s="102">
        <f>SUM(E18/B18*100)</f>
        <v>37.224633662568316</v>
      </c>
      <c r="G18" s="101">
        <f>SUM(G6:G17)</f>
        <v>26743</v>
      </c>
      <c r="H18" s="103">
        <f t="shared" si="0"/>
        <v>0.14643312710152318</v>
      </c>
      <c r="I18" s="101">
        <f>SUM(I6:I17)</f>
        <v>5959189</v>
      </c>
      <c r="J18" s="103">
        <f>SUM(I18/B18*100)</f>
        <v>32.6299472856074</v>
      </c>
      <c r="K18" s="101">
        <f>SUM(K6:K17)</f>
        <v>2929040</v>
      </c>
      <c r="L18" s="104">
        <f>SUM(K18/B18)*100</f>
        <v>16.038159017516563</v>
      </c>
    </row>
    <row r="19" spans="1:12" ht="12.75">
      <c r="A19" s="77" t="s">
        <v>79</v>
      </c>
      <c r="B19" s="100"/>
      <c r="C19" s="100"/>
      <c r="D19" s="113"/>
      <c r="E19" s="100"/>
      <c r="F19" s="32"/>
      <c r="G19" s="100"/>
      <c r="H19" s="32"/>
      <c r="I19" s="100"/>
      <c r="J19" s="32"/>
      <c r="K19" s="31"/>
      <c r="L19" s="33"/>
    </row>
    <row r="20" spans="1:12" ht="12.75">
      <c r="A20" s="14" t="s">
        <v>75</v>
      </c>
      <c r="B20" s="89"/>
      <c r="C20" s="89"/>
      <c r="D20" s="112"/>
      <c r="E20" s="89"/>
      <c r="F20" s="21"/>
      <c r="G20" s="89"/>
      <c r="H20" s="21"/>
      <c r="I20" s="89"/>
      <c r="J20" s="21"/>
      <c r="K20" s="20"/>
      <c r="L20" s="22"/>
    </row>
    <row r="21" spans="1:12" ht="13.5" thickBot="1">
      <c r="A21" s="14" t="s">
        <v>76</v>
      </c>
      <c r="B21" s="121">
        <f>10000+320</f>
        <v>10320</v>
      </c>
      <c r="C21" s="121"/>
      <c r="D21" s="209">
        <f>SUM(C21/B21)*100</f>
        <v>0</v>
      </c>
      <c r="E21" s="26"/>
      <c r="F21" s="38">
        <f>SUM(E21/B21)*100</f>
        <v>0</v>
      </c>
      <c r="G21" s="26"/>
      <c r="H21" s="38">
        <f>SUM(G21/B21*100)</f>
        <v>0</v>
      </c>
      <c r="I21" s="26"/>
      <c r="J21" s="38">
        <f>SUM(I21/B21*100)</f>
        <v>0</v>
      </c>
      <c r="K21" s="26">
        <f>SUM(B21-C21-E21-G21-I21)</f>
        <v>10320</v>
      </c>
      <c r="L21" s="39">
        <f>SUM(K21/B21)*100</f>
        <v>100</v>
      </c>
    </row>
    <row r="22" spans="1:12" s="29" customFormat="1" ht="13.5" thickBot="1">
      <c r="A22" s="27" t="s">
        <v>37</v>
      </c>
      <c r="B22" s="101">
        <f>SUM(B19:B21)</f>
        <v>10320</v>
      </c>
      <c r="C22" s="101">
        <f>SUM(C19:C21)</f>
        <v>0</v>
      </c>
      <c r="D22" s="108">
        <f>SUM(C22/B22)*100</f>
        <v>0</v>
      </c>
      <c r="E22" s="101">
        <f>SUM(E21)</f>
        <v>0</v>
      </c>
      <c r="F22" s="103">
        <f>SUM(E22/B22)*100</f>
        <v>0</v>
      </c>
      <c r="G22" s="101">
        <f>SUM(G19:G21)</f>
        <v>0</v>
      </c>
      <c r="H22" s="103">
        <f>SUM(H21)</f>
        <v>0</v>
      </c>
      <c r="I22" s="101">
        <f>SUM(I19:I21)</f>
        <v>0</v>
      </c>
      <c r="J22" s="103">
        <f>SUM(I22/B22*100)</f>
        <v>0</v>
      </c>
      <c r="K22" s="101">
        <f>SUM(K19:K21)</f>
        <v>10320</v>
      </c>
      <c r="L22" s="104">
        <f>SUM(L21)</f>
        <v>100</v>
      </c>
    </row>
    <row r="23" spans="1:12" s="29" customFormat="1" ht="12.75">
      <c r="A23" s="210" t="s">
        <v>74</v>
      </c>
      <c r="B23" s="122"/>
      <c r="C23" s="122"/>
      <c r="D23" s="123"/>
      <c r="E23" s="122"/>
      <c r="F23" s="124"/>
      <c r="G23" s="122"/>
      <c r="H23" s="124"/>
      <c r="I23" s="122"/>
      <c r="J23" s="124"/>
      <c r="K23" s="122"/>
      <c r="L23" s="125"/>
    </row>
    <row r="24" spans="1:12" s="29" customFormat="1" ht="12.75">
      <c r="A24" s="211" t="s">
        <v>100</v>
      </c>
      <c r="B24" s="89">
        <f>87970-76701+18331</f>
        <v>29600</v>
      </c>
      <c r="C24" s="89"/>
      <c r="D24" s="126">
        <f>SUM(C24/B24)*100</f>
        <v>0</v>
      </c>
      <c r="E24" s="212"/>
      <c r="F24" s="213"/>
      <c r="G24" s="212"/>
      <c r="H24" s="213"/>
      <c r="I24" s="212"/>
      <c r="J24" s="213">
        <f>SUM(I24/B24*100)</f>
        <v>0</v>
      </c>
      <c r="K24" s="212">
        <f>SUM(B24-C24-E24-G24-I24)</f>
        <v>29600</v>
      </c>
      <c r="L24" s="214">
        <f>SUM(K24/B24)*100</f>
        <v>100</v>
      </c>
    </row>
    <row r="25" spans="1:12" s="29" customFormat="1" ht="12.75">
      <c r="A25" s="76" t="s">
        <v>79</v>
      </c>
      <c r="B25" s="127"/>
      <c r="C25" s="100"/>
      <c r="D25" s="126"/>
      <c r="E25" s="127"/>
      <c r="F25" s="215"/>
      <c r="G25" s="127"/>
      <c r="H25" s="215"/>
      <c r="I25" s="127"/>
      <c r="J25" s="215"/>
      <c r="K25" s="127"/>
      <c r="L25" s="216"/>
    </row>
    <row r="26" spans="1:12" s="29" customFormat="1" ht="13.5" thickBot="1">
      <c r="A26" s="117" t="s">
        <v>76</v>
      </c>
      <c r="B26" s="121">
        <v>111914</v>
      </c>
      <c r="C26" s="121"/>
      <c r="D26" s="126">
        <f>SUM(C26/B26)*100</f>
        <v>0</v>
      </c>
      <c r="E26" s="128"/>
      <c r="F26" s="217">
        <f>SUM(E26/B26)*100</f>
        <v>0</v>
      </c>
      <c r="G26" s="128"/>
      <c r="H26" s="217"/>
      <c r="I26" s="121">
        <v>29398</v>
      </c>
      <c r="J26" s="217">
        <f>SUM(I26/B26*100)</f>
        <v>26.268384652501027</v>
      </c>
      <c r="K26" s="128">
        <f>SUM(B26-C26-E26-G26-I26)</f>
        <v>82516</v>
      </c>
      <c r="L26" s="218">
        <f>SUM(K26/B26)*100</f>
        <v>73.73161534749897</v>
      </c>
    </row>
    <row r="27" spans="1:12" s="29" customFormat="1" ht="13.5" thickBot="1">
      <c r="A27" s="219" t="s">
        <v>35</v>
      </c>
      <c r="B27" s="101">
        <f>SUM(B26,B24)</f>
        <v>141514</v>
      </c>
      <c r="C27" s="101">
        <f>SUM(C24:C26)</f>
        <v>0</v>
      </c>
      <c r="D27" s="108">
        <f>SUM(C27/B27)*100</f>
        <v>0</v>
      </c>
      <c r="E27" s="101"/>
      <c r="F27" s="103"/>
      <c r="G27" s="101"/>
      <c r="H27" s="103"/>
      <c r="I27" s="101">
        <f>SUM(I24:I26)</f>
        <v>29398</v>
      </c>
      <c r="J27" s="103">
        <f>SUM(J26)</f>
        <v>26.268384652501027</v>
      </c>
      <c r="K27" s="101">
        <f>SUM(K24:K26)</f>
        <v>112116</v>
      </c>
      <c r="L27" s="104">
        <f>SUM(K27/B27)*100</f>
        <v>79.22608363836794</v>
      </c>
    </row>
    <row r="28" spans="1:12" s="29" customFormat="1" ht="12.75">
      <c r="A28" s="76" t="s">
        <v>74</v>
      </c>
      <c r="B28" s="122"/>
      <c r="C28" s="122"/>
      <c r="D28" s="123"/>
      <c r="E28" s="122"/>
      <c r="F28" s="124"/>
      <c r="G28" s="122"/>
      <c r="H28" s="124"/>
      <c r="I28" s="122"/>
      <c r="J28" s="124"/>
      <c r="K28" s="122"/>
      <c r="L28" s="125"/>
    </row>
    <row r="29" spans="1:12" s="29" customFormat="1" ht="13.5" thickBot="1">
      <c r="A29" s="14" t="s">
        <v>76</v>
      </c>
      <c r="B29" s="129"/>
      <c r="C29" s="129"/>
      <c r="D29" s="126"/>
      <c r="E29" s="130"/>
      <c r="F29" s="131"/>
      <c r="G29" s="130"/>
      <c r="H29" s="131"/>
      <c r="I29" s="130"/>
      <c r="J29" s="131"/>
      <c r="K29" s="130"/>
      <c r="L29" s="132"/>
    </row>
    <row r="30" spans="1:12" s="29" customFormat="1" ht="13.5" thickBot="1">
      <c r="A30" s="133" t="s">
        <v>49</v>
      </c>
      <c r="B30" s="134">
        <f>SUM(B29)</f>
        <v>0</v>
      </c>
      <c r="C30" s="134">
        <f aca="true" t="shared" si="1" ref="C30:K30">SUM(C29)</f>
        <v>0</v>
      </c>
      <c r="D30" s="135">
        <f t="shared" si="1"/>
        <v>0</v>
      </c>
      <c r="E30" s="134">
        <f t="shared" si="1"/>
        <v>0</v>
      </c>
      <c r="F30" s="134">
        <f t="shared" si="1"/>
        <v>0</v>
      </c>
      <c r="G30" s="134">
        <f t="shared" si="1"/>
        <v>0</v>
      </c>
      <c r="H30" s="134">
        <f t="shared" si="1"/>
        <v>0</v>
      </c>
      <c r="I30" s="134">
        <f t="shared" si="1"/>
        <v>0</v>
      </c>
      <c r="J30" s="134">
        <f t="shared" si="1"/>
        <v>0</v>
      </c>
      <c r="K30" s="134">
        <f t="shared" si="1"/>
        <v>0</v>
      </c>
      <c r="L30" s="136"/>
    </row>
    <row r="31" spans="1:12" s="29" customFormat="1" ht="13.5" thickBot="1">
      <c r="A31" s="105" t="s">
        <v>17</v>
      </c>
      <c r="B31" s="101">
        <f>SUM(B18,B22,B27)</f>
        <v>18414778</v>
      </c>
      <c r="C31" s="101">
        <f>SUM(C18,C22,C27)</f>
        <v>2549658</v>
      </c>
      <c r="D31" s="108">
        <f>SUM(C31/B31)*100</f>
        <v>13.845716739023409</v>
      </c>
      <c r="E31" s="101">
        <f>SUM(E22,E18)</f>
        <v>6798314</v>
      </c>
      <c r="F31" s="103">
        <f>SUM(E31/B31)*100</f>
        <v>36.91770815808912</v>
      </c>
      <c r="G31" s="101">
        <f>SUM(G22,G18)</f>
        <v>26743</v>
      </c>
      <c r="H31" s="103">
        <f>SUM(H22)</f>
        <v>0</v>
      </c>
      <c r="I31" s="101">
        <f>SUM(I18)</f>
        <v>5959189</v>
      </c>
      <c r="J31" s="103">
        <f>SUM(I31/B31*100)</f>
        <v>32.360906007121024</v>
      </c>
      <c r="K31" s="101">
        <f>SUM(K18,K22,K27)</f>
        <v>3051476</v>
      </c>
      <c r="L31" s="104">
        <f>SUM(K31/B31)*100</f>
        <v>16.570799821751855</v>
      </c>
    </row>
    <row r="32" s="106" customFormat="1" ht="12.75">
      <c r="D32" s="178"/>
    </row>
    <row r="33" s="106" customFormat="1" ht="12.75">
      <c r="D33" s="178"/>
    </row>
    <row r="34" s="106" customFormat="1" ht="12.75">
      <c r="D34" s="178"/>
    </row>
    <row r="35" s="106" customFormat="1" ht="12.75">
      <c r="D35" s="178"/>
    </row>
    <row r="36" s="106" customFormat="1" ht="12.75">
      <c r="D36" s="178"/>
    </row>
    <row r="37" s="106" customFormat="1" ht="12.75">
      <c r="D37" s="178"/>
    </row>
    <row r="38" s="106" customFormat="1" ht="12.75">
      <c r="D38" s="178"/>
    </row>
    <row r="39" s="106" customFormat="1" ht="12.75">
      <c r="D39" s="178"/>
    </row>
    <row r="40" s="106" customFormat="1" ht="12.75">
      <c r="D40" s="178"/>
    </row>
    <row r="41" s="106" customFormat="1" ht="12.75">
      <c r="D41" s="178"/>
    </row>
    <row r="42" s="106" customFormat="1" ht="12.75">
      <c r="D42" s="178"/>
    </row>
    <row r="43" s="106" customFormat="1" ht="12.75">
      <c r="D43" s="178"/>
    </row>
  </sheetData>
  <sheetProtection/>
  <mergeCells count="2">
    <mergeCell ref="K1:L1"/>
    <mergeCell ref="A2:L3"/>
  </mergeCells>
  <printOptions/>
  <pageMargins left="0.7480314960629921" right="0.15748031496062992" top="0.5905511811023623" bottom="0.3937007874015748" header="0.2755905511811024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4"/>
  <sheetViews>
    <sheetView zoomScalePageLayoutView="0" workbookViewId="0" topLeftCell="B28">
      <selection activeCell="B45" sqref="A45:IV88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6384" width="9.125" style="1" customWidth="1"/>
  </cols>
  <sheetData>
    <row r="1" spans="12:13" ht="12" customHeight="1">
      <c r="L1" s="196" t="s">
        <v>28</v>
      </c>
      <c r="M1" s="196"/>
    </row>
    <row r="2" spans="2:13" ht="18" customHeight="1">
      <c r="B2" s="197" t="s">
        <v>115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51.75" customHeight="1" thickBot="1">
      <c r="B4" s="36" t="s">
        <v>3</v>
      </c>
      <c r="C4" s="44" t="s">
        <v>62</v>
      </c>
      <c r="D4" s="44" t="s">
        <v>77</v>
      </c>
      <c r="E4" s="45" t="s">
        <v>67</v>
      </c>
      <c r="F4" s="44" t="s">
        <v>57</v>
      </c>
      <c r="G4" s="45" t="s">
        <v>68</v>
      </c>
      <c r="H4" s="44" t="s">
        <v>78</v>
      </c>
      <c r="I4" s="45" t="s">
        <v>70</v>
      </c>
      <c r="J4" s="45" t="s">
        <v>73</v>
      </c>
      <c r="K4" s="45" t="s">
        <v>45</v>
      </c>
      <c r="L4" s="46" t="s">
        <v>71</v>
      </c>
      <c r="M4" s="53" t="s">
        <v>72</v>
      </c>
    </row>
    <row r="5" spans="2:13" ht="12" customHeight="1">
      <c r="B5" s="76" t="s">
        <v>74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75</v>
      </c>
      <c r="C6" s="19">
        <v>129297</v>
      </c>
      <c r="D6" s="20"/>
      <c r="E6" s="21"/>
      <c r="F6" s="20"/>
      <c r="G6" s="17"/>
      <c r="H6" s="20"/>
      <c r="I6" s="63"/>
      <c r="J6" s="16">
        <v>129297</v>
      </c>
      <c r="K6" s="17"/>
      <c r="L6" s="16">
        <f>SUM(C6-D6-F6-H6-J6)</f>
        <v>0</v>
      </c>
      <c r="M6" s="22"/>
    </row>
    <row r="7" spans="2:13" ht="12" customHeight="1">
      <c r="B7" s="14" t="s">
        <v>76</v>
      </c>
      <c r="C7" s="19">
        <f>40000+30000+33655+8574+13445+5600+1183+1988+4076+2213+12637+1161+8920</f>
        <v>163452</v>
      </c>
      <c r="D7" s="20"/>
      <c r="E7" s="21">
        <f>SUM(D7/C7)*100</f>
        <v>0</v>
      </c>
      <c r="F7" s="20"/>
      <c r="G7" s="17">
        <f>SUM(F7/C7)*100</f>
        <v>0</v>
      </c>
      <c r="H7" s="20">
        <f>131274-8504</f>
        <v>122770</v>
      </c>
      <c r="I7" s="63">
        <f>SUM(H7/C7)*100</f>
        <v>75.11073587352863</v>
      </c>
      <c r="J7" s="16"/>
      <c r="K7" s="17">
        <f>SUM(J7/C7)*100</f>
        <v>0</v>
      </c>
      <c r="L7" s="16">
        <f aca="true" t="shared" si="0" ref="L7:L13">SUM(C7-D7-F7-H7-J7)</f>
        <v>40682</v>
      </c>
      <c r="M7" s="22">
        <f>SUM(L7/C7)*100</f>
        <v>24.88926412647138</v>
      </c>
    </row>
    <row r="8" spans="2:13" ht="12" customHeight="1">
      <c r="B8" s="77" t="s">
        <v>79</v>
      </c>
      <c r="C8" s="19"/>
      <c r="D8" s="20"/>
      <c r="E8" s="21"/>
      <c r="F8" s="20"/>
      <c r="G8" s="21"/>
      <c r="H8" s="20"/>
      <c r="I8" s="63"/>
      <c r="J8" s="16"/>
      <c r="K8" s="17"/>
      <c r="L8" s="16">
        <f t="shared" si="0"/>
        <v>0</v>
      </c>
      <c r="M8" s="22"/>
    </row>
    <row r="9" spans="2:13" ht="12" customHeight="1">
      <c r="B9" s="14" t="s">
        <v>75</v>
      </c>
      <c r="C9" s="19">
        <v>3012</v>
      </c>
      <c r="D9" s="20"/>
      <c r="E9" s="21"/>
      <c r="F9" s="20"/>
      <c r="G9" s="21"/>
      <c r="H9" s="20"/>
      <c r="I9" s="63"/>
      <c r="J9" s="16">
        <v>3012</v>
      </c>
      <c r="K9" s="17"/>
      <c r="L9" s="16">
        <f t="shared" si="0"/>
        <v>0</v>
      </c>
      <c r="M9" s="22"/>
    </row>
    <row r="10" spans="2:13" ht="12" customHeight="1">
      <c r="B10" s="14" t="s">
        <v>76</v>
      </c>
      <c r="C10" s="19">
        <f>13105+80000+19050+15000+10000+6731</f>
        <v>143886</v>
      </c>
      <c r="D10" s="20"/>
      <c r="E10" s="21">
        <f>SUM(D10/C10)*100</f>
        <v>0</v>
      </c>
      <c r="F10" s="20"/>
      <c r="G10" s="21">
        <f>SUM(F10/C10)*100</f>
        <v>0</v>
      </c>
      <c r="H10" s="20"/>
      <c r="I10" s="63">
        <f>SUM(H10/C10)*100</f>
        <v>0</v>
      </c>
      <c r="J10" s="16"/>
      <c r="K10" s="17">
        <f>SUM(J10/C10)*100</f>
        <v>0</v>
      </c>
      <c r="L10" s="16">
        <f t="shared" si="0"/>
        <v>143886</v>
      </c>
      <c r="M10" s="22">
        <f>SUM(L10/C10)*100</f>
        <v>100</v>
      </c>
    </row>
    <row r="11" spans="2:13" ht="12" customHeight="1">
      <c r="B11" s="81" t="s">
        <v>80</v>
      </c>
      <c r="C11" s="30"/>
      <c r="D11" s="31"/>
      <c r="E11" s="32"/>
      <c r="F11" s="31"/>
      <c r="G11" s="32"/>
      <c r="H11" s="31"/>
      <c r="I11" s="107"/>
      <c r="J11" s="31"/>
      <c r="K11" s="32"/>
      <c r="L11" s="16">
        <f t="shared" si="0"/>
        <v>0</v>
      </c>
      <c r="M11" s="33"/>
    </row>
    <row r="12" spans="2:13" ht="12" customHeight="1">
      <c r="B12" s="165" t="s">
        <v>75</v>
      </c>
      <c r="C12" s="19">
        <v>14924</v>
      </c>
      <c r="D12" s="20"/>
      <c r="E12" s="21"/>
      <c r="F12" s="20"/>
      <c r="G12" s="21"/>
      <c r="H12" s="20"/>
      <c r="I12" s="177"/>
      <c r="J12" s="20">
        <v>14924</v>
      </c>
      <c r="K12" s="21"/>
      <c r="L12" s="16">
        <f t="shared" si="0"/>
        <v>0</v>
      </c>
      <c r="M12" s="22"/>
    </row>
    <row r="13" spans="2:13" ht="12" customHeight="1" thickBot="1">
      <c r="B13" s="37" t="s">
        <v>76</v>
      </c>
      <c r="C13" s="25"/>
      <c r="D13" s="26"/>
      <c r="E13" s="38"/>
      <c r="F13" s="26"/>
      <c r="G13" s="38"/>
      <c r="H13" s="26"/>
      <c r="I13" s="64"/>
      <c r="J13" s="26"/>
      <c r="K13" s="38"/>
      <c r="L13" s="16">
        <f t="shared" si="0"/>
        <v>0</v>
      </c>
      <c r="M13" s="39"/>
    </row>
    <row r="14" spans="2:13" s="29" customFormat="1" ht="12" customHeight="1" thickBot="1">
      <c r="B14" s="27" t="s">
        <v>36</v>
      </c>
      <c r="C14" s="24">
        <f>SUM(C6:C13)</f>
        <v>454571</v>
      </c>
      <c r="D14" s="24">
        <f>SUM(D7:D13)</f>
        <v>0</v>
      </c>
      <c r="E14" s="55">
        <f>SUM(D14/C14)*100</f>
        <v>0</v>
      </c>
      <c r="F14" s="24">
        <f>SUM(F5:F10)</f>
        <v>0</v>
      </c>
      <c r="G14" s="55">
        <f>SUM(F14/C14)*100</f>
        <v>0</v>
      </c>
      <c r="H14" s="24">
        <f>SUM(H5:H10)</f>
        <v>122770</v>
      </c>
      <c r="I14" s="55">
        <f>SUM(H14/C14)*100</f>
        <v>27.007882157022777</v>
      </c>
      <c r="J14" s="24">
        <f>SUM(J5:J13)</f>
        <v>147233</v>
      </c>
      <c r="K14" s="28">
        <f>SUM(J14/C14)*100</f>
        <v>32.3894397134881</v>
      </c>
      <c r="L14" s="24">
        <f>SUM(L5:L10)</f>
        <v>184568</v>
      </c>
      <c r="M14" s="73">
        <f>SUM(L14/C14)*100</f>
        <v>40.60267812948912</v>
      </c>
    </row>
    <row r="15" spans="2:13" s="223" customFormat="1" ht="12" customHeight="1">
      <c r="B15" s="76" t="s">
        <v>74</v>
      </c>
      <c r="C15" s="19"/>
      <c r="D15" s="180"/>
      <c r="E15" s="21"/>
      <c r="F15" s="180"/>
      <c r="G15" s="220"/>
      <c r="H15" s="180"/>
      <c r="I15" s="221"/>
      <c r="J15" s="181"/>
      <c r="K15" s="222"/>
      <c r="L15" s="16"/>
      <c r="M15" s="22"/>
    </row>
    <row r="16" spans="2:13" s="223" customFormat="1" ht="12" customHeight="1">
      <c r="B16" s="14" t="s">
        <v>76</v>
      </c>
      <c r="C16" s="19">
        <v>9774</v>
      </c>
      <c r="D16" s="180"/>
      <c r="E16" s="21"/>
      <c r="F16" s="180"/>
      <c r="G16" s="220"/>
      <c r="H16" s="180"/>
      <c r="I16" s="221"/>
      <c r="J16" s="181">
        <v>9774</v>
      </c>
      <c r="K16" s="222"/>
      <c r="L16" s="16">
        <f>SUM(C16-D16-F16-H16-J16)</f>
        <v>0</v>
      </c>
      <c r="M16" s="22"/>
    </row>
    <row r="17" spans="2:13" s="223" customFormat="1" ht="12" customHeight="1">
      <c r="B17" s="77" t="s">
        <v>79</v>
      </c>
      <c r="C17" s="19"/>
      <c r="D17" s="180"/>
      <c r="E17" s="21"/>
      <c r="F17" s="180"/>
      <c r="G17" s="220"/>
      <c r="H17" s="180"/>
      <c r="I17" s="221"/>
      <c r="J17" s="181"/>
      <c r="K17" s="222"/>
      <c r="L17" s="16">
        <f>SUM(C17-D17-F17-H17-J17)</f>
        <v>0</v>
      </c>
      <c r="M17" s="22"/>
    </row>
    <row r="18" spans="2:13" s="223" customFormat="1" ht="12" customHeight="1">
      <c r="B18" s="14" t="s">
        <v>75</v>
      </c>
      <c r="C18" s="19"/>
      <c r="D18" s="180"/>
      <c r="E18" s="21"/>
      <c r="F18" s="180"/>
      <c r="G18" s="220"/>
      <c r="H18" s="180"/>
      <c r="I18" s="221"/>
      <c r="J18" s="181"/>
      <c r="K18" s="222"/>
      <c r="L18" s="16">
        <f>SUM(C18-D18-F18-H18-J18)</f>
        <v>0</v>
      </c>
      <c r="M18" s="22"/>
    </row>
    <row r="19" spans="2:13" s="223" customFormat="1" ht="12" customHeight="1" thickBot="1">
      <c r="B19" s="14" t="s">
        <v>76</v>
      </c>
      <c r="C19" s="116">
        <v>1100</v>
      </c>
      <c r="D19" s="184"/>
      <c r="E19" s="205"/>
      <c r="F19" s="184"/>
      <c r="G19" s="224"/>
      <c r="H19" s="184"/>
      <c r="I19" s="221"/>
      <c r="J19" s="186"/>
      <c r="K19" s="222"/>
      <c r="L19" s="16">
        <f>SUM(C19-D19-F19-H19-J19)</f>
        <v>1100</v>
      </c>
      <c r="M19" s="206"/>
    </row>
    <row r="20" spans="2:13" s="29" customFormat="1" ht="12" customHeight="1" thickBot="1">
      <c r="B20" s="27" t="s">
        <v>35</v>
      </c>
      <c r="C20" s="24">
        <f>SUM(C15:C19)</f>
        <v>10874</v>
      </c>
      <c r="D20" s="24">
        <f aca="true" t="shared" si="1" ref="D20:L20">SUM(D15:D19)</f>
        <v>0</v>
      </c>
      <c r="E20" s="28"/>
      <c r="F20" s="24">
        <f t="shared" si="1"/>
        <v>0</v>
      </c>
      <c r="G20" s="28"/>
      <c r="H20" s="24">
        <f t="shared" si="1"/>
        <v>0</v>
      </c>
      <c r="I20" s="55"/>
      <c r="J20" s="24">
        <f>SUM(J15:J19)</f>
        <v>9774</v>
      </c>
      <c r="K20" s="28"/>
      <c r="L20" s="24">
        <f t="shared" si="1"/>
        <v>1100</v>
      </c>
      <c r="M20" s="40"/>
    </row>
    <row r="21" spans="2:13" ht="12" customHeight="1">
      <c r="B21" s="77" t="s">
        <v>79</v>
      </c>
      <c r="C21" s="189"/>
      <c r="D21" s="190"/>
      <c r="E21" s="225"/>
      <c r="F21" s="190"/>
      <c r="G21" s="225"/>
      <c r="H21" s="190"/>
      <c r="I21" s="226"/>
      <c r="J21" s="190"/>
      <c r="K21" s="225"/>
      <c r="L21" s="190"/>
      <c r="M21" s="227"/>
    </row>
    <row r="22" spans="2:13" ht="12" customHeight="1" thickBot="1">
      <c r="B22" s="14" t="s">
        <v>76</v>
      </c>
      <c r="C22" s="25">
        <v>35000</v>
      </c>
      <c r="D22" s="26"/>
      <c r="E22" s="38">
        <f>SUM(D22/C22)*100</f>
        <v>0</v>
      </c>
      <c r="F22" s="26"/>
      <c r="G22" s="38">
        <f>SUM(F22/C22)*100</f>
        <v>0</v>
      </c>
      <c r="H22" s="26"/>
      <c r="I22" s="64">
        <f>SUM(H22/C22)*100</f>
        <v>0</v>
      </c>
      <c r="J22" s="26"/>
      <c r="K22" s="38">
        <f>SUM(J22/C22)*100</f>
        <v>0</v>
      </c>
      <c r="L22" s="26">
        <f>SUM(C22-D22-F22-H22-J22)</f>
        <v>35000</v>
      </c>
      <c r="M22" s="39">
        <f>SUM(L22/C22)*100</f>
        <v>100</v>
      </c>
    </row>
    <row r="23" spans="2:13" ht="12" customHeight="1" thickBot="1">
      <c r="B23" s="27" t="s">
        <v>49</v>
      </c>
      <c r="C23" s="24">
        <f>SUM(C21:C22)</f>
        <v>35000</v>
      </c>
      <c r="D23" s="24">
        <f>SUM(D21:D22)</f>
        <v>0</v>
      </c>
      <c r="E23" s="55">
        <f>SUM(D23/C23)*100</f>
        <v>0</v>
      </c>
      <c r="F23" s="24">
        <f aca="true" t="shared" si="2" ref="F23:L23">SUM(F21:F22)</f>
        <v>0</v>
      </c>
      <c r="G23" s="55">
        <f t="shared" si="2"/>
        <v>0</v>
      </c>
      <c r="H23" s="24">
        <f t="shared" si="2"/>
        <v>0</v>
      </c>
      <c r="I23" s="55">
        <f t="shared" si="2"/>
        <v>0</v>
      </c>
      <c r="J23" s="24">
        <f t="shared" si="2"/>
        <v>0</v>
      </c>
      <c r="K23" s="28">
        <f t="shared" si="2"/>
        <v>0</v>
      </c>
      <c r="L23" s="24">
        <f t="shared" si="2"/>
        <v>35000</v>
      </c>
      <c r="M23" s="73">
        <f>SUM(L23/C23)*100</f>
        <v>100</v>
      </c>
    </row>
    <row r="24" spans="2:13" ht="12" customHeight="1">
      <c r="B24" s="76" t="s">
        <v>79</v>
      </c>
      <c r="C24" s="127"/>
      <c r="D24" s="141"/>
      <c r="E24" s="142"/>
      <c r="F24" s="141"/>
      <c r="G24" s="142"/>
      <c r="H24" s="141"/>
      <c r="I24" s="142"/>
      <c r="J24" s="141"/>
      <c r="K24" s="143"/>
      <c r="L24" s="141"/>
      <c r="M24" s="144"/>
    </row>
    <row r="25" spans="2:13" ht="12" customHeight="1" thickBot="1">
      <c r="B25" s="117" t="s">
        <v>76</v>
      </c>
      <c r="C25" s="121">
        <f>2856+1258</f>
        <v>4114</v>
      </c>
      <c r="D25" s="145"/>
      <c r="E25" s="146">
        <f>SUM(D25/C25)*100</f>
        <v>0</v>
      </c>
      <c r="F25" s="145"/>
      <c r="G25" s="146">
        <f>SUM(F25/C25)*100</f>
        <v>0</v>
      </c>
      <c r="H25" s="145"/>
      <c r="I25" s="146">
        <f>SUM(H25/C25)*100</f>
        <v>0</v>
      </c>
      <c r="J25" s="145"/>
      <c r="K25" s="147">
        <f>SUM(J25/C25)*100</f>
        <v>0</v>
      </c>
      <c r="L25" s="121">
        <f>SUM(C25-D25-F25-H25-J25)</f>
        <v>4114</v>
      </c>
      <c r="M25" s="148">
        <f>SUM(L25/C25)*100</f>
        <v>100</v>
      </c>
    </row>
    <row r="26" spans="2:13" ht="12" customHeight="1" thickBot="1">
      <c r="B26" s="137" t="s">
        <v>86</v>
      </c>
      <c r="C26" s="101">
        <f>SUM(C25)</f>
        <v>4114</v>
      </c>
      <c r="D26" s="145"/>
      <c r="E26" s="146">
        <f aca="true" t="shared" si="3" ref="E26:E41">SUM(D26/C26)*100</f>
        <v>0</v>
      </c>
      <c r="F26" s="145"/>
      <c r="G26" s="146">
        <f aca="true" t="shared" si="4" ref="G26:G41">SUM(F26/C26)*100</f>
        <v>0</v>
      </c>
      <c r="H26" s="145"/>
      <c r="I26" s="146">
        <f aca="true" t="shared" si="5" ref="I26:I41">SUM(H26/C26)*100</f>
        <v>0</v>
      </c>
      <c r="J26" s="145"/>
      <c r="K26" s="147">
        <f aca="true" t="shared" si="6" ref="K26:K41">SUM(J26/C26)*100</f>
        <v>0</v>
      </c>
      <c r="L26" s="121">
        <f aca="true" t="shared" si="7" ref="L26:L41">SUM(C26-D26-F26-H26-J26)</f>
        <v>4114</v>
      </c>
      <c r="M26" s="148">
        <f aca="true" t="shared" si="8" ref="M26:M41">SUM(L26/C26)*100</f>
        <v>100</v>
      </c>
    </row>
    <row r="27" spans="2:13" ht="12" customHeight="1" thickBot="1">
      <c r="B27" s="76" t="s">
        <v>79</v>
      </c>
      <c r="C27" s="122"/>
      <c r="D27" s="145"/>
      <c r="E27" s="146"/>
      <c r="F27" s="145"/>
      <c r="G27" s="146"/>
      <c r="H27" s="145"/>
      <c r="I27" s="146"/>
      <c r="J27" s="145"/>
      <c r="K27" s="147"/>
      <c r="L27" s="121"/>
      <c r="M27" s="148"/>
    </row>
    <row r="28" spans="2:13" ht="12" customHeight="1" thickBot="1">
      <c r="B28" s="117" t="s">
        <v>76</v>
      </c>
      <c r="C28" s="121">
        <f>8148+1337</f>
        <v>9485</v>
      </c>
      <c r="D28" s="145"/>
      <c r="E28" s="146">
        <f t="shared" si="3"/>
        <v>0</v>
      </c>
      <c r="F28" s="145"/>
      <c r="G28" s="146">
        <f t="shared" si="4"/>
        <v>0</v>
      </c>
      <c r="H28" s="145"/>
      <c r="I28" s="146">
        <f t="shared" si="5"/>
        <v>0</v>
      </c>
      <c r="J28" s="145"/>
      <c r="K28" s="147">
        <f t="shared" si="6"/>
        <v>0</v>
      </c>
      <c r="L28" s="121">
        <f t="shared" si="7"/>
        <v>9485</v>
      </c>
      <c r="M28" s="148">
        <f t="shared" si="8"/>
        <v>100</v>
      </c>
    </row>
    <row r="29" spans="2:13" ht="12" customHeight="1" thickBot="1">
      <c r="B29" s="137" t="s">
        <v>83</v>
      </c>
      <c r="C29" s="101">
        <f>SUM(C28)</f>
        <v>9485</v>
      </c>
      <c r="D29" s="145"/>
      <c r="E29" s="146">
        <f t="shared" si="3"/>
        <v>0</v>
      </c>
      <c r="F29" s="145"/>
      <c r="G29" s="146">
        <f t="shared" si="4"/>
        <v>0</v>
      </c>
      <c r="H29" s="145"/>
      <c r="I29" s="146">
        <f t="shared" si="5"/>
        <v>0</v>
      </c>
      <c r="J29" s="145"/>
      <c r="K29" s="147">
        <f t="shared" si="6"/>
        <v>0</v>
      </c>
      <c r="L29" s="121">
        <f t="shared" si="7"/>
        <v>9485</v>
      </c>
      <c r="M29" s="148">
        <f t="shared" si="8"/>
        <v>100</v>
      </c>
    </row>
    <row r="30" spans="2:13" ht="12" customHeight="1" thickBot="1">
      <c r="B30" s="76" t="s">
        <v>79</v>
      </c>
      <c r="C30" s="122"/>
      <c r="D30" s="145"/>
      <c r="E30" s="146"/>
      <c r="F30" s="145"/>
      <c r="G30" s="146"/>
      <c r="H30" s="145"/>
      <c r="I30" s="146"/>
      <c r="J30" s="145"/>
      <c r="K30" s="147"/>
      <c r="L30" s="121"/>
      <c r="M30" s="148"/>
    </row>
    <row r="31" spans="2:13" ht="12" customHeight="1" thickBot="1">
      <c r="B31" s="117" t="s">
        <v>76</v>
      </c>
      <c r="C31" s="121">
        <f>1000+721</f>
        <v>1721</v>
      </c>
      <c r="D31" s="145"/>
      <c r="E31" s="146">
        <f t="shared" si="3"/>
        <v>0</v>
      </c>
      <c r="F31" s="145"/>
      <c r="G31" s="146">
        <f t="shared" si="4"/>
        <v>0</v>
      </c>
      <c r="H31" s="145"/>
      <c r="I31" s="146">
        <f t="shared" si="5"/>
        <v>0</v>
      </c>
      <c r="J31" s="145"/>
      <c r="K31" s="147">
        <f t="shared" si="6"/>
        <v>0</v>
      </c>
      <c r="L31" s="121">
        <f t="shared" si="7"/>
        <v>1721</v>
      </c>
      <c r="M31" s="148">
        <f t="shared" si="8"/>
        <v>100</v>
      </c>
    </row>
    <row r="32" spans="2:13" ht="12" customHeight="1" thickBot="1">
      <c r="B32" s="137" t="s">
        <v>84</v>
      </c>
      <c r="C32" s="101">
        <f>SUM(C31)</f>
        <v>1721</v>
      </c>
      <c r="D32" s="145"/>
      <c r="E32" s="146">
        <f t="shared" si="3"/>
        <v>0</v>
      </c>
      <c r="F32" s="145"/>
      <c r="G32" s="146">
        <f t="shared" si="4"/>
        <v>0</v>
      </c>
      <c r="H32" s="145"/>
      <c r="I32" s="146">
        <f t="shared" si="5"/>
        <v>0</v>
      </c>
      <c r="J32" s="145"/>
      <c r="K32" s="147">
        <f t="shared" si="6"/>
        <v>0</v>
      </c>
      <c r="L32" s="121">
        <f t="shared" si="7"/>
        <v>1721</v>
      </c>
      <c r="M32" s="148">
        <f t="shared" si="8"/>
        <v>100</v>
      </c>
    </row>
    <row r="33" spans="2:13" ht="12" customHeight="1" thickBot="1">
      <c r="B33" s="76" t="s">
        <v>79</v>
      </c>
      <c r="C33" s="122"/>
      <c r="D33" s="145"/>
      <c r="E33" s="146"/>
      <c r="F33" s="145"/>
      <c r="G33" s="146"/>
      <c r="H33" s="145"/>
      <c r="I33" s="146"/>
      <c r="J33" s="145"/>
      <c r="K33" s="147"/>
      <c r="L33" s="121"/>
      <c r="M33" s="148"/>
    </row>
    <row r="34" spans="2:13" ht="12" customHeight="1" thickBot="1">
      <c r="B34" s="117" t="s">
        <v>76</v>
      </c>
      <c r="C34" s="129">
        <f>1200+571</f>
        <v>1771</v>
      </c>
      <c r="D34" s="145"/>
      <c r="E34" s="146">
        <f t="shared" si="3"/>
        <v>0</v>
      </c>
      <c r="F34" s="145"/>
      <c r="G34" s="146">
        <f t="shared" si="4"/>
        <v>0</v>
      </c>
      <c r="H34" s="145"/>
      <c r="I34" s="146">
        <f t="shared" si="5"/>
        <v>0</v>
      </c>
      <c r="J34" s="145"/>
      <c r="K34" s="147">
        <f t="shared" si="6"/>
        <v>0</v>
      </c>
      <c r="L34" s="121">
        <f t="shared" si="7"/>
        <v>1771</v>
      </c>
      <c r="M34" s="148">
        <f t="shared" si="8"/>
        <v>100</v>
      </c>
    </row>
    <row r="35" spans="2:13" ht="12" customHeight="1" thickBot="1">
      <c r="B35" s="27" t="s">
        <v>85</v>
      </c>
      <c r="C35" s="101">
        <f>SUM(C34)</f>
        <v>1771</v>
      </c>
      <c r="D35" s="145"/>
      <c r="E35" s="146"/>
      <c r="F35" s="145"/>
      <c r="G35" s="146"/>
      <c r="H35" s="145"/>
      <c r="I35" s="146"/>
      <c r="J35" s="145"/>
      <c r="K35" s="147"/>
      <c r="L35" s="121"/>
      <c r="M35" s="148"/>
    </row>
    <row r="36" spans="2:13" ht="12" customHeight="1" thickBot="1">
      <c r="B36" s="76" t="s">
        <v>79</v>
      </c>
      <c r="C36" s="122"/>
      <c r="D36" s="145"/>
      <c r="E36" s="146"/>
      <c r="F36" s="145"/>
      <c r="G36" s="146"/>
      <c r="H36" s="145"/>
      <c r="I36" s="146"/>
      <c r="J36" s="145"/>
      <c r="K36" s="147"/>
      <c r="L36" s="121"/>
      <c r="M36" s="148"/>
    </row>
    <row r="37" spans="2:13" ht="12" customHeight="1" thickBot="1">
      <c r="B37" s="117" t="s">
        <v>76</v>
      </c>
      <c r="C37" s="121">
        <f>1270+150+250</f>
        <v>1670</v>
      </c>
      <c r="D37" s="145"/>
      <c r="E37" s="146">
        <f t="shared" si="3"/>
        <v>0</v>
      </c>
      <c r="F37" s="145"/>
      <c r="G37" s="146">
        <f t="shared" si="4"/>
        <v>0</v>
      </c>
      <c r="H37" s="145"/>
      <c r="I37" s="146">
        <f t="shared" si="5"/>
        <v>0</v>
      </c>
      <c r="J37" s="145"/>
      <c r="K37" s="147">
        <f t="shared" si="6"/>
        <v>0</v>
      </c>
      <c r="L37" s="121">
        <f t="shared" si="7"/>
        <v>1670</v>
      </c>
      <c r="M37" s="148">
        <f t="shared" si="8"/>
        <v>100</v>
      </c>
    </row>
    <row r="38" spans="2:13" ht="12" customHeight="1" thickBot="1">
      <c r="B38" s="27" t="s">
        <v>87</v>
      </c>
      <c r="C38" s="101">
        <f>SUM(C37)</f>
        <v>1670</v>
      </c>
      <c r="D38" s="145"/>
      <c r="E38" s="146">
        <f t="shared" si="3"/>
        <v>0</v>
      </c>
      <c r="F38" s="145"/>
      <c r="G38" s="146">
        <f t="shared" si="4"/>
        <v>0</v>
      </c>
      <c r="H38" s="145"/>
      <c r="I38" s="146">
        <f t="shared" si="5"/>
        <v>0</v>
      </c>
      <c r="J38" s="145"/>
      <c r="K38" s="147">
        <f t="shared" si="6"/>
        <v>0</v>
      </c>
      <c r="L38" s="121">
        <f t="shared" si="7"/>
        <v>1670</v>
      </c>
      <c r="M38" s="148">
        <f t="shared" si="8"/>
        <v>100</v>
      </c>
    </row>
    <row r="39" spans="2:13" ht="12" customHeight="1" thickBot="1">
      <c r="B39" s="78" t="s">
        <v>79</v>
      </c>
      <c r="C39" s="101"/>
      <c r="D39" s="145"/>
      <c r="E39" s="146"/>
      <c r="F39" s="145"/>
      <c r="G39" s="146"/>
      <c r="H39" s="145"/>
      <c r="I39" s="146"/>
      <c r="J39" s="145"/>
      <c r="K39" s="147"/>
      <c r="L39" s="121"/>
      <c r="M39" s="148"/>
    </row>
    <row r="40" spans="2:13" ht="12" customHeight="1" thickBot="1">
      <c r="B40" s="138" t="s">
        <v>76</v>
      </c>
      <c r="C40" s="139">
        <f>1500+873</f>
        <v>2373</v>
      </c>
      <c r="D40" s="145"/>
      <c r="E40" s="146">
        <f t="shared" si="3"/>
        <v>0</v>
      </c>
      <c r="F40" s="145"/>
      <c r="G40" s="146">
        <f t="shared" si="4"/>
        <v>0</v>
      </c>
      <c r="H40" s="145"/>
      <c r="I40" s="146">
        <f t="shared" si="5"/>
        <v>0</v>
      </c>
      <c r="J40" s="145"/>
      <c r="K40" s="147">
        <f t="shared" si="6"/>
        <v>0</v>
      </c>
      <c r="L40" s="121">
        <f t="shared" si="7"/>
        <v>2373</v>
      </c>
      <c r="M40" s="148">
        <f t="shared" si="8"/>
        <v>100</v>
      </c>
    </row>
    <row r="41" spans="2:13" ht="12" customHeight="1" thickBot="1">
      <c r="B41" s="140" t="s">
        <v>88</v>
      </c>
      <c r="C41" s="128">
        <f>SUM(C40)</f>
        <v>2373</v>
      </c>
      <c r="D41" s="145"/>
      <c r="E41" s="146">
        <f t="shared" si="3"/>
        <v>0</v>
      </c>
      <c r="F41" s="145"/>
      <c r="G41" s="146">
        <f t="shared" si="4"/>
        <v>0</v>
      </c>
      <c r="H41" s="145"/>
      <c r="I41" s="146">
        <f t="shared" si="5"/>
        <v>0</v>
      </c>
      <c r="J41" s="145"/>
      <c r="K41" s="147">
        <f t="shared" si="6"/>
        <v>0</v>
      </c>
      <c r="L41" s="121">
        <f t="shared" si="7"/>
        <v>2373</v>
      </c>
      <c r="M41" s="148">
        <f t="shared" si="8"/>
        <v>100</v>
      </c>
    </row>
    <row r="42" spans="2:13" ht="12" customHeight="1" thickBot="1">
      <c r="B42" s="27"/>
      <c r="C42" s="24"/>
      <c r="D42" s="145"/>
      <c r="E42" s="146"/>
      <c r="F42" s="145"/>
      <c r="G42" s="146"/>
      <c r="H42" s="145"/>
      <c r="I42" s="146"/>
      <c r="J42" s="145"/>
      <c r="K42" s="147"/>
      <c r="L42" s="121"/>
      <c r="M42" s="148"/>
    </row>
    <row r="43" spans="2:13" s="4" customFormat="1" ht="12" customHeight="1" thickBot="1">
      <c r="B43" s="23" t="s">
        <v>17</v>
      </c>
      <c r="C43" s="24">
        <f>SUM(C23,C20,C14,C26,C29,C32,C35,C38,C41)</f>
        <v>521579</v>
      </c>
      <c r="D43" s="24">
        <f aca="true" t="shared" si="9" ref="D43:J43">SUM(D23,D20,D14)</f>
        <v>0</v>
      </c>
      <c r="E43" s="55">
        <f>SUM(D43/C43)*100</f>
        <v>0</v>
      </c>
      <c r="F43" s="24">
        <f t="shared" si="9"/>
        <v>0</v>
      </c>
      <c r="G43" s="55">
        <f>SUM(G22:G23)</f>
        <v>0</v>
      </c>
      <c r="H43" s="24">
        <f t="shared" si="9"/>
        <v>122770</v>
      </c>
      <c r="I43" s="55">
        <f>SUM(I22:I23)</f>
        <v>0</v>
      </c>
      <c r="J43" s="24">
        <f t="shared" si="9"/>
        <v>157007</v>
      </c>
      <c r="K43" s="38">
        <f>SUM(J43/C43)*100</f>
        <v>30.102247214707646</v>
      </c>
      <c r="L43" s="24">
        <f>SUM(L14,L20,L23,L26,L29,L32,L34,L38,L41)</f>
        <v>241802</v>
      </c>
      <c r="M43" s="73">
        <f>SUM(L43/C43)*100</f>
        <v>46.359611870876705</v>
      </c>
    </row>
    <row r="44" spans="2:13" ht="12.75">
      <c r="B44" s="8"/>
      <c r="C44" s="9"/>
      <c r="D44" s="9"/>
      <c r="E44" s="13"/>
      <c r="F44" s="9"/>
      <c r="G44" s="10"/>
      <c r="H44" s="59"/>
      <c r="I44" s="65"/>
      <c r="J44" s="11"/>
      <c r="K44" s="68"/>
      <c r="L44" s="12"/>
      <c r="M44" s="8"/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1">
      <selection activeCell="A10" sqref="A10:IV25"/>
    </sheetView>
  </sheetViews>
  <sheetFormatPr defaultColWidth="9.00390625" defaultRowHeight="12.75"/>
  <cols>
    <col min="1" max="1" width="26.00390625" style="1" customWidth="1"/>
    <col min="2" max="2" width="10.125" style="1" customWidth="1"/>
    <col min="3" max="3" width="9.75390625" style="1" customWidth="1"/>
    <col min="4" max="4" width="9.625" style="72" customWidth="1"/>
    <col min="5" max="5" width="11.375" style="1" customWidth="1"/>
    <col min="6" max="6" width="10.375" style="1" customWidth="1"/>
    <col min="7" max="7" width="11.875" style="1" customWidth="1"/>
    <col min="8" max="8" width="9.375" style="1" customWidth="1"/>
    <col min="9" max="9" width="11.25390625" style="1" customWidth="1"/>
    <col min="10" max="10" width="9.75390625" style="1" customWidth="1"/>
    <col min="11" max="11" width="11.75390625" style="1" customWidth="1"/>
    <col min="12" max="12" width="13.375" style="1" customWidth="1"/>
    <col min="13" max="13" width="9.75390625" style="1" bestFit="1" customWidth="1"/>
    <col min="14" max="14" width="10.125" style="1" bestFit="1" customWidth="1"/>
    <col min="15" max="16384" width="9.125" style="1" customWidth="1"/>
  </cols>
  <sheetData>
    <row r="1" spans="1:12" ht="12.75">
      <c r="A1" s="35"/>
      <c r="B1" s="35"/>
      <c r="C1" s="35"/>
      <c r="D1" s="69"/>
      <c r="E1" s="35"/>
      <c r="F1" s="35"/>
      <c r="G1" s="35"/>
      <c r="H1" s="35"/>
      <c r="I1" s="35"/>
      <c r="J1" s="35"/>
      <c r="K1" s="192" t="s">
        <v>29</v>
      </c>
      <c r="L1" s="192"/>
    </row>
    <row r="2" spans="1:12" ht="12.75">
      <c r="A2" s="193" t="s">
        <v>116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ht="12.75">
      <c r="A3" s="193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</row>
    <row r="4" spans="1:12" ht="13.5" thickBot="1">
      <c r="A4" s="56"/>
      <c r="B4" s="56"/>
      <c r="C4" s="56"/>
      <c r="D4" s="70"/>
      <c r="E4" s="41"/>
      <c r="F4" s="42"/>
      <c r="G4" s="41"/>
      <c r="H4" s="42"/>
      <c r="I4" s="42"/>
      <c r="J4" s="42"/>
      <c r="K4" s="43"/>
      <c r="L4" s="52" t="s">
        <v>0</v>
      </c>
    </row>
    <row r="5" spans="1:12" ht="92.25" customHeight="1" thickBot="1">
      <c r="A5" s="36" t="s">
        <v>3</v>
      </c>
      <c r="B5" s="44" t="s">
        <v>66</v>
      </c>
      <c r="C5" s="44" t="s">
        <v>77</v>
      </c>
      <c r="D5" s="45" t="s">
        <v>67</v>
      </c>
      <c r="E5" s="44" t="s">
        <v>57</v>
      </c>
      <c r="F5" s="45" t="s">
        <v>68</v>
      </c>
      <c r="G5" s="44" t="s">
        <v>78</v>
      </c>
      <c r="H5" s="45" t="s">
        <v>70</v>
      </c>
      <c r="I5" s="45" t="s">
        <v>73</v>
      </c>
      <c r="J5" s="45" t="s">
        <v>45</v>
      </c>
      <c r="K5" s="46" t="s">
        <v>71</v>
      </c>
      <c r="L5" s="53" t="s">
        <v>72</v>
      </c>
    </row>
    <row r="6" spans="1:12" s="75" customFormat="1" ht="12.75">
      <c r="A6" s="149" t="s">
        <v>89</v>
      </c>
      <c r="B6" s="119">
        <f>1364676+192-1050</f>
        <v>1363818</v>
      </c>
      <c r="C6" s="119"/>
      <c r="D6" s="79">
        <f>SUM(C6/B6)*100</f>
        <v>0</v>
      </c>
      <c r="E6" s="16"/>
      <c r="F6" s="21">
        <f>SUM(E6/B6)*100</f>
        <v>0</v>
      </c>
      <c r="G6" s="16"/>
      <c r="H6" s="21">
        <f>SUM(G6/B6*100)</f>
        <v>0</v>
      </c>
      <c r="I6" s="16"/>
      <c r="J6" s="17">
        <f>SUM(I6/B6*100)</f>
        <v>0</v>
      </c>
      <c r="K6" s="20">
        <f>SUM(B6-C6-E6-G6-I6)</f>
        <v>1363818</v>
      </c>
      <c r="L6" s="22">
        <f>SUM(K6/B6)*100</f>
        <v>100</v>
      </c>
    </row>
    <row r="7" spans="1:12" ht="13.5" thickBot="1">
      <c r="A7" s="14" t="s">
        <v>90</v>
      </c>
      <c r="B7" s="19">
        <f>299756-52224-130061+320</f>
        <v>117791</v>
      </c>
      <c r="C7" s="19"/>
      <c r="D7" s="79">
        <f>SUM(C7/B7)*100</f>
        <v>0</v>
      </c>
      <c r="E7" s="20"/>
      <c r="F7" s="21">
        <f>SUM(E7/B7)*100</f>
        <v>0</v>
      </c>
      <c r="G7" s="20"/>
      <c r="H7" s="21">
        <f>SUM(G7/B7*100)</f>
        <v>0</v>
      </c>
      <c r="I7" s="20"/>
      <c r="J7" s="17">
        <f>SUM(I7/B7*100)</f>
        <v>0</v>
      </c>
      <c r="K7" s="20">
        <f>SUM(B7-C7-E7-G7-I7)</f>
        <v>117791</v>
      </c>
      <c r="L7" s="22">
        <f>SUM(K7/B7)*100</f>
        <v>100</v>
      </c>
    </row>
    <row r="8" spans="1:12" s="29" customFormat="1" ht="13.5" thickBot="1">
      <c r="A8" s="27" t="s">
        <v>36</v>
      </c>
      <c r="B8" s="24">
        <f>SUM(B6:B7)</f>
        <v>1481609</v>
      </c>
      <c r="C8" s="24">
        <f>SUM(C6:C7)</f>
        <v>0</v>
      </c>
      <c r="D8" s="80">
        <f>SUM(C8/B8)*100</f>
        <v>0</v>
      </c>
      <c r="E8" s="24">
        <f>SUM(E6:E7)</f>
        <v>0</v>
      </c>
      <c r="F8" s="55">
        <f>SUM(E8/B8*100)</f>
        <v>0</v>
      </c>
      <c r="G8" s="24">
        <f>SUM(G6:G7)</f>
        <v>0</v>
      </c>
      <c r="H8" s="28">
        <f>SUM(G8/B8*100)</f>
        <v>0</v>
      </c>
      <c r="I8" s="24">
        <f>SUM(I6:I7)</f>
        <v>0</v>
      </c>
      <c r="J8" s="28">
        <f>SUM(I8/B8*100)</f>
        <v>0</v>
      </c>
      <c r="K8" s="24">
        <f>SUM(K6:K7)</f>
        <v>1481609</v>
      </c>
      <c r="L8" s="40">
        <f>SUM(K8/B8)*100</f>
        <v>100</v>
      </c>
    </row>
    <row r="9" spans="3:11" ht="12.75">
      <c r="C9" s="6"/>
      <c r="D9" s="71"/>
      <c r="E9" s="3"/>
      <c r="F9" s="2"/>
      <c r="G9" s="3"/>
      <c r="H9" s="2"/>
      <c r="I9" s="2"/>
      <c r="J9" s="2"/>
      <c r="K9" s="6"/>
    </row>
  </sheetData>
  <sheetProtection/>
  <mergeCells count="2">
    <mergeCell ref="K1:L1"/>
    <mergeCell ref="A2:L3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9"/>
  <sheetViews>
    <sheetView tabSelected="1" zoomScalePageLayoutView="0" workbookViewId="0" topLeftCell="B1">
      <selection activeCell="B11" sqref="A11:IV29"/>
    </sheetView>
  </sheetViews>
  <sheetFormatPr defaultColWidth="9.00390625" defaultRowHeight="12.75"/>
  <cols>
    <col min="1" max="1" width="1.12109375" style="1" hidden="1" customWidth="1"/>
    <col min="2" max="2" width="33.25390625" style="1" customWidth="1"/>
    <col min="3" max="3" width="10.25390625" style="3" customWidth="1"/>
    <col min="4" max="4" width="9.375" style="3" bestFit="1" customWidth="1"/>
    <col min="5" max="5" width="9.75390625" style="2" customWidth="1"/>
    <col min="6" max="6" width="10.875" style="3" customWidth="1"/>
    <col min="7" max="7" width="9.75390625" style="7" customWidth="1"/>
    <col min="8" max="8" width="11.625" style="57" customWidth="1"/>
    <col min="9" max="9" width="8.375" style="61" customWidth="1"/>
    <col min="10" max="10" width="9.75390625" style="5" customWidth="1"/>
    <col min="11" max="11" width="10.00390625" style="66" customWidth="1"/>
    <col min="12" max="12" width="11.125" style="6" customWidth="1"/>
    <col min="13" max="13" width="13.00390625" style="1" customWidth="1"/>
    <col min="14" max="14" width="9.125" style="1" customWidth="1"/>
    <col min="15" max="15" width="10.125" style="1" bestFit="1" customWidth="1"/>
    <col min="16" max="16384" width="9.125" style="1" customWidth="1"/>
  </cols>
  <sheetData>
    <row r="1" spans="12:13" ht="12" customHeight="1">
      <c r="L1" s="196" t="s">
        <v>28</v>
      </c>
      <c r="M1" s="196"/>
    </row>
    <row r="2" spans="2:13" ht="18" customHeight="1">
      <c r="B2" s="197" t="s">
        <v>117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</row>
    <row r="3" spans="2:13" ht="12" customHeight="1" thickBot="1">
      <c r="B3" s="35"/>
      <c r="C3" s="47"/>
      <c r="D3" s="47"/>
      <c r="E3" s="48"/>
      <c r="F3" s="47"/>
      <c r="G3" s="49"/>
      <c r="H3" s="58"/>
      <c r="I3" s="62"/>
      <c r="J3" s="50"/>
      <c r="K3" s="67"/>
      <c r="L3" s="51"/>
      <c r="M3" s="52" t="s">
        <v>0</v>
      </c>
    </row>
    <row r="4" spans="2:13" s="54" customFormat="1" ht="51.75" customHeight="1" thickBot="1">
      <c r="B4" s="36" t="s">
        <v>3</v>
      </c>
      <c r="C4" s="44" t="s">
        <v>62</v>
      </c>
      <c r="D4" s="44" t="s">
        <v>77</v>
      </c>
      <c r="E4" s="45" t="s">
        <v>67</v>
      </c>
      <c r="F4" s="44" t="s">
        <v>57</v>
      </c>
      <c r="G4" s="45" t="s">
        <v>68</v>
      </c>
      <c r="H4" s="44" t="s">
        <v>78</v>
      </c>
      <c r="I4" s="45" t="s">
        <v>70</v>
      </c>
      <c r="J4" s="45" t="s">
        <v>73</v>
      </c>
      <c r="K4" s="45" t="s">
        <v>45</v>
      </c>
      <c r="L4" s="46" t="s">
        <v>71</v>
      </c>
      <c r="M4" s="53" t="s">
        <v>72</v>
      </c>
    </row>
    <row r="5" spans="2:13" ht="12" customHeight="1">
      <c r="B5" s="76" t="s">
        <v>92</v>
      </c>
      <c r="C5" s="19"/>
      <c r="D5" s="20"/>
      <c r="E5" s="21"/>
      <c r="F5" s="20"/>
      <c r="G5" s="17"/>
      <c r="H5" s="20"/>
      <c r="I5" s="63"/>
      <c r="J5" s="16"/>
      <c r="K5" s="17"/>
      <c r="L5" s="16">
        <f>SUM(C5-D5-F5-H5-J5)</f>
        <v>0</v>
      </c>
      <c r="M5" s="22"/>
    </row>
    <row r="6" spans="2:13" ht="12" customHeight="1">
      <c r="B6" s="14" t="s">
        <v>89</v>
      </c>
      <c r="C6" s="19">
        <f>4750566+451+13463</f>
        <v>4764480</v>
      </c>
      <c r="D6" s="20"/>
      <c r="E6" s="21">
        <f>SUM(D6/C6)*100</f>
        <v>0</v>
      </c>
      <c r="F6" s="20"/>
      <c r="G6" s="17">
        <f>SUM(F6/C6)*100</f>
        <v>0</v>
      </c>
      <c r="H6" s="20"/>
      <c r="I6" s="63">
        <f>SUM(H6/C6)*100</f>
        <v>0</v>
      </c>
      <c r="J6" s="16"/>
      <c r="K6" s="17">
        <f>SUM(J6/C6)*100</f>
        <v>0</v>
      </c>
      <c r="L6" s="16">
        <f>SUM(C6-D6-F6-H6-J6)</f>
        <v>4764480</v>
      </c>
      <c r="M6" s="22">
        <f>SUM(L6/C6)*100</f>
        <v>100</v>
      </c>
    </row>
    <row r="7" spans="2:13" ht="12" customHeight="1">
      <c r="B7" s="14" t="s">
        <v>91</v>
      </c>
      <c r="C7" s="19">
        <v>203960</v>
      </c>
      <c r="D7" s="20"/>
      <c r="E7" s="21">
        <f>SUM(D7/C7)*100</f>
        <v>0</v>
      </c>
      <c r="F7" s="20"/>
      <c r="G7" s="21">
        <f>SUM(F7/C7)*100</f>
        <v>0</v>
      </c>
      <c r="H7" s="20"/>
      <c r="I7" s="63">
        <f>SUM(H7/C7)*100</f>
        <v>0</v>
      </c>
      <c r="J7" s="16"/>
      <c r="K7" s="17">
        <f>SUM(J7/C7)*100</f>
        <v>0</v>
      </c>
      <c r="L7" s="16">
        <f>SUM(C7-D7-F7-H7-J7)</f>
        <v>203960</v>
      </c>
      <c r="M7" s="22">
        <f>SUM(L7/C7)*100</f>
        <v>100</v>
      </c>
    </row>
    <row r="8" spans="2:13" ht="12" customHeight="1" thickBot="1">
      <c r="B8" s="117" t="s">
        <v>108</v>
      </c>
      <c r="C8" s="30">
        <v>52224</v>
      </c>
      <c r="D8" s="31"/>
      <c r="E8" s="21">
        <f>SUM(D8/C8)*100</f>
        <v>0</v>
      </c>
      <c r="F8" s="31"/>
      <c r="G8" s="21">
        <f>SUM(F8/C8)*100</f>
        <v>0</v>
      </c>
      <c r="H8" s="31"/>
      <c r="I8" s="63">
        <f>SUM(H8/C8)*100</f>
        <v>0</v>
      </c>
      <c r="J8" s="31"/>
      <c r="K8" s="17">
        <f>SUM(J8/C8)*100</f>
        <v>0</v>
      </c>
      <c r="L8" s="16">
        <f>SUM(C8-D8-F8-H8-J8)</f>
        <v>52224</v>
      </c>
      <c r="M8" s="22">
        <f>SUM(L8/C8)*100</f>
        <v>100</v>
      </c>
    </row>
    <row r="9" spans="2:13" s="29" customFormat="1" ht="12" customHeight="1" thickBot="1">
      <c r="B9" s="27" t="s">
        <v>36</v>
      </c>
      <c r="C9" s="24">
        <f>SUM(C5:C8)</f>
        <v>5020664</v>
      </c>
      <c r="D9" s="24">
        <f>SUM(D5:D7)</f>
        <v>0</v>
      </c>
      <c r="E9" s="55">
        <f>SUM(D9/C9)*100</f>
        <v>0</v>
      </c>
      <c r="F9" s="24">
        <f>SUM(F5:F7)</f>
        <v>0</v>
      </c>
      <c r="G9" s="55">
        <f>SUM(F9/C9)*100</f>
        <v>0</v>
      </c>
      <c r="H9" s="24">
        <f>SUM(H5:H7)</f>
        <v>0</v>
      </c>
      <c r="I9" s="55">
        <f>SUM(H9/C9)*100</f>
        <v>0</v>
      </c>
      <c r="J9" s="24">
        <f>SUM(J5:J7)</f>
        <v>0</v>
      </c>
      <c r="K9" s="28">
        <f>SUM(J9/C9)*100</f>
        <v>0</v>
      </c>
      <c r="L9" s="24">
        <f>SUM(L5:L8)</f>
        <v>5020664</v>
      </c>
      <c r="M9" s="73">
        <f>SUM(L9/C9)*100</f>
        <v>100</v>
      </c>
    </row>
  </sheetData>
  <sheetProtection/>
  <mergeCells count="2">
    <mergeCell ref="L1:M1"/>
    <mergeCell ref="B2:M2"/>
  </mergeCells>
  <printOptions/>
  <pageMargins left="0.15748031496062992" right="0.15748031496062992" top="0.5905511811023623" bottom="0.3937007874015748" header="0.2755905511811024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 Éva</dc:creator>
  <cp:keywords/>
  <dc:description/>
  <cp:lastModifiedBy>Morvai Éva</cp:lastModifiedBy>
  <cp:lastPrinted>2020-01-20T08:50:59Z</cp:lastPrinted>
  <dcterms:created xsi:type="dcterms:W3CDTF">2009-02-04T11:37:44Z</dcterms:created>
  <dcterms:modified xsi:type="dcterms:W3CDTF">2021-02-25T05:44:03Z</dcterms:modified>
  <cp:category/>
  <cp:version/>
  <cp:contentType/>
  <cp:contentStatus/>
</cp:coreProperties>
</file>