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ZABREND\"/>
    </mc:Choice>
  </mc:AlternateContent>
  <xr:revisionPtr revIDLastSave="0" documentId="13_ncr:1_{088EFA24-19BD-492C-A63F-06ECB3231F92}" xr6:coauthVersionLast="45" xr6:coauthVersionMax="45" xr10:uidLastSave="{00000000-0000-0000-0000-000000000000}"/>
  <bookViews>
    <workbookView xWindow="-120" yWindow="-120" windowWidth="19440" windowHeight="15000" tabRatio="608" activeTab="11" xr2:uid="{00000000-000D-0000-FFFF-FFFF00000000}"/>
  </bookViews>
  <sheets>
    <sheet name="1" sheetId="186" r:id="rId1"/>
    <sheet name="2" sheetId="187" r:id="rId2"/>
    <sheet name="3" sheetId="188" r:id="rId3"/>
    <sheet name="4" sheetId="189" r:id="rId4"/>
    <sheet name="5" sheetId="190" r:id="rId5"/>
    <sheet name="5.a" sheetId="191" r:id="rId6"/>
    <sheet name="6" sheetId="192" r:id="rId7"/>
    <sheet name="6.a" sheetId="193" r:id="rId8"/>
    <sheet name="7" sheetId="194" r:id="rId9"/>
    <sheet name="8" sheetId="195" r:id="rId10"/>
    <sheet name="9" sheetId="178" r:id="rId11"/>
    <sheet name="10" sheetId="196" r:id="rId12"/>
    <sheet name="11" sheetId="185" r:id="rId13"/>
    <sheet name="12" sheetId="181" r:id="rId14"/>
    <sheet name="13.a" sheetId="183" r:id="rId15"/>
    <sheet name="13.b" sheetId="184" r:id="rId16"/>
    <sheet name="14" sheetId="182" r:id="rId17"/>
  </sheets>
  <externalReferences>
    <externalReference r:id="rId18"/>
  </externalReferences>
  <definedNames>
    <definedName name="_GoBack" localSheetId="1">'2'!#REF!</definedName>
    <definedName name="_xlnm.Print_Titles" localSheetId="12">'11'!$1:$3</definedName>
    <definedName name="_xlnm.Print_Titles" localSheetId="14">'13.a'!$1:$1</definedName>
    <definedName name="_xlnm.Print_Titles" localSheetId="15">'13.b'!$1:$1</definedName>
    <definedName name="_xlnm.Print_Titles" localSheetId="2">'3'!#REF!</definedName>
    <definedName name="_xlnm.Print_Titles" localSheetId="5">'5.a'!#REF!</definedName>
    <definedName name="_xlnm.Print_Titles" localSheetId="7">'6.a'!#REF!</definedName>
    <definedName name="_xlnm.Print_Area" localSheetId="2">'3'!#REF!</definedName>
    <definedName name="_xlnm.Print_Area" localSheetId="5">'5.a'!#REF!</definedName>
    <definedName name="_xlnm.Print_Area" localSheetId="7">'6.a'!#REF!</definedName>
    <definedName name="_xlnm.Print_Area" localSheetId="10">'9'!$A$1:$O$11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95" l="1"/>
  <c r="G21" i="195"/>
  <c r="I21" i="195"/>
  <c r="K21" i="195"/>
  <c r="M21" i="195"/>
  <c r="C21" i="195"/>
  <c r="M20" i="195"/>
  <c r="L20" i="195"/>
  <c r="K20" i="195"/>
  <c r="J20" i="195"/>
  <c r="I20" i="195"/>
  <c r="H20" i="195"/>
  <c r="G20" i="195"/>
  <c r="F20" i="195"/>
  <c r="E20" i="195"/>
  <c r="D20" i="195"/>
  <c r="M19" i="195"/>
  <c r="L19" i="195"/>
  <c r="K19" i="195"/>
  <c r="J19" i="195"/>
  <c r="I19" i="195"/>
  <c r="H19" i="195"/>
  <c r="G19" i="195"/>
  <c r="F19" i="195"/>
  <c r="E19" i="195"/>
  <c r="D19" i="195"/>
  <c r="M18" i="195"/>
  <c r="L18" i="195"/>
  <c r="K18" i="195"/>
  <c r="J18" i="195"/>
  <c r="I18" i="195"/>
  <c r="H18" i="195"/>
  <c r="G18" i="195"/>
  <c r="F18" i="195"/>
  <c r="E18" i="195"/>
  <c r="D18" i="195"/>
  <c r="M17" i="195"/>
  <c r="L17" i="195"/>
  <c r="K17" i="195"/>
  <c r="J17" i="195"/>
  <c r="I17" i="195"/>
  <c r="H17" i="195"/>
  <c r="G17" i="195"/>
  <c r="F17" i="195"/>
  <c r="E17" i="195"/>
  <c r="D17" i="195"/>
  <c r="M16" i="195"/>
  <c r="L16" i="195"/>
  <c r="K16" i="195"/>
  <c r="J16" i="195"/>
  <c r="I16" i="195"/>
  <c r="H16" i="195"/>
  <c r="G16" i="195"/>
  <c r="F16" i="195"/>
  <c r="E16" i="195"/>
  <c r="D16" i="195"/>
  <c r="M15" i="195"/>
  <c r="L15" i="195"/>
  <c r="K15" i="195"/>
  <c r="J15" i="195"/>
  <c r="I15" i="195"/>
  <c r="H15" i="195"/>
  <c r="G15" i="195"/>
  <c r="F15" i="195"/>
  <c r="E15" i="195"/>
  <c r="D15" i="195"/>
  <c r="M14" i="195"/>
  <c r="L14" i="195"/>
  <c r="K14" i="195"/>
  <c r="J14" i="195"/>
  <c r="I14" i="195"/>
  <c r="H14" i="195"/>
  <c r="G14" i="195"/>
  <c r="F14" i="195"/>
  <c r="E14" i="195"/>
  <c r="D14" i="195"/>
  <c r="M13" i="195"/>
  <c r="L13" i="195"/>
  <c r="K13" i="195"/>
  <c r="J13" i="195"/>
  <c r="I13" i="195"/>
  <c r="H13" i="195"/>
  <c r="G13" i="195"/>
  <c r="F13" i="195"/>
  <c r="E13" i="195"/>
  <c r="D13" i="195"/>
  <c r="M12" i="195"/>
  <c r="L12" i="195"/>
  <c r="K12" i="195"/>
  <c r="J12" i="195"/>
  <c r="I12" i="195"/>
  <c r="H12" i="195"/>
  <c r="G12" i="195"/>
  <c r="F12" i="195"/>
  <c r="E12" i="195"/>
  <c r="D12" i="195"/>
  <c r="M11" i="195"/>
  <c r="L11" i="195"/>
  <c r="K11" i="195"/>
  <c r="J11" i="195"/>
  <c r="I11" i="195"/>
  <c r="H11" i="195"/>
  <c r="G11" i="195"/>
  <c r="F11" i="195"/>
  <c r="E11" i="195"/>
  <c r="D11" i="195"/>
  <c r="M10" i="195"/>
  <c r="L10" i="195"/>
  <c r="K10" i="195"/>
  <c r="J10" i="195"/>
  <c r="I10" i="195"/>
  <c r="H10" i="195"/>
  <c r="G10" i="195"/>
  <c r="F10" i="195"/>
  <c r="E10" i="195"/>
  <c r="D10" i="195"/>
  <c r="M9" i="195"/>
  <c r="L9" i="195"/>
  <c r="K9" i="195"/>
  <c r="J9" i="195"/>
  <c r="I9" i="195"/>
  <c r="H9" i="195"/>
  <c r="G9" i="195"/>
  <c r="F9" i="195"/>
  <c r="E9" i="195"/>
  <c r="D9" i="195"/>
  <c r="M8" i="195"/>
  <c r="L8" i="195"/>
  <c r="K8" i="195"/>
  <c r="J8" i="195"/>
  <c r="I8" i="195"/>
  <c r="H8" i="195"/>
  <c r="G8" i="195"/>
  <c r="F8" i="195"/>
  <c r="E8" i="195"/>
  <c r="D8" i="195"/>
  <c r="M7" i="195"/>
  <c r="L7" i="195"/>
  <c r="K7" i="195"/>
  <c r="J7" i="195"/>
  <c r="I7" i="195"/>
  <c r="H7" i="195"/>
  <c r="G7" i="195"/>
  <c r="F7" i="195"/>
  <c r="E7" i="195"/>
  <c r="D7" i="195"/>
  <c r="M6" i="195"/>
  <c r="L6" i="195"/>
  <c r="K6" i="195"/>
  <c r="J6" i="195"/>
  <c r="I6" i="195"/>
  <c r="H6" i="195"/>
  <c r="G6" i="195"/>
  <c r="F6" i="195"/>
  <c r="E6" i="195"/>
  <c r="D6" i="195"/>
  <c r="M5" i="195"/>
  <c r="L5" i="195"/>
  <c r="K5" i="195"/>
  <c r="J5" i="195"/>
  <c r="I5" i="195"/>
  <c r="H5" i="195"/>
  <c r="G5" i="195"/>
  <c r="F5" i="195"/>
  <c r="E5" i="195"/>
  <c r="D5" i="195"/>
  <c r="M4" i="195"/>
  <c r="L4" i="195"/>
  <c r="K4" i="195"/>
  <c r="J4" i="195"/>
  <c r="I4" i="195"/>
  <c r="H4" i="195"/>
  <c r="G4" i="195"/>
  <c r="F4" i="195"/>
  <c r="E4" i="195"/>
  <c r="D4" i="195"/>
  <c r="M3" i="195"/>
  <c r="L3" i="195"/>
  <c r="L21" i="195" s="1"/>
  <c r="K3" i="195"/>
  <c r="J3" i="195"/>
  <c r="I3" i="195"/>
  <c r="H3" i="195"/>
  <c r="H21" i="195" s="1"/>
  <c r="G3" i="195"/>
  <c r="F3" i="195"/>
  <c r="E3" i="195"/>
  <c r="D3" i="195"/>
  <c r="E21" i="194"/>
  <c r="I21" i="194"/>
  <c r="M21" i="194"/>
  <c r="C21" i="194"/>
  <c r="N20" i="194"/>
  <c r="M20" i="194"/>
  <c r="L20" i="194"/>
  <c r="K20" i="194"/>
  <c r="J20" i="194"/>
  <c r="I20" i="194"/>
  <c r="H20" i="194"/>
  <c r="G20" i="194"/>
  <c r="F20" i="194"/>
  <c r="E20" i="194"/>
  <c r="D20" i="194"/>
  <c r="N19" i="194"/>
  <c r="M19" i="194"/>
  <c r="L19" i="194"/>
  <c r="K19" i="194"/>
  <c r="J19" i="194"/>
  <c r="I19" i="194"/>
  <c r="H19" i="194"/>
  <c r="G19" i="194"/>
  <c r="F19" i="194"/>
  <c r="E19" i="194"/>
  <c r="O19" i="194" s="1"/>
  <c r="D19" i="194"/>
  <c r="N18" i="194"/>
  <c r="M18" i="194"/>
  <c r="L18" i="194"/>
  <c r="K18" i="194"/>
  <c r="J18" i="194"/>
  <c r="I18" i="194"/>
  <c r="H18" i="194"/>
  <c r="G18" i="194"/>
  <c r="F18" i="194"/>
  <c r="E18" i="194"/>
  <c r="D18" i="194"/>
  <c r="N17" i="194"/>
  <c r="M17" i="194"/>
  <c r="L17" i="194"/>
  <c r="K17" i="194"/>
  <c r="J17" i="194"/>
  <c r="I17" i="194"/>
  <c r="H17" i="194"/>
  <c r="G17" i="194"/>
  <c r="F17" i="194"/>
  <c r="E17" i="194"/>
  <c r="D17" i="194"/>
  <c r="N16" i="194"/>
  <c r="M16" i="194"/>
  <c r="L16" i="194"/>
  <c r="K16" i="194"/>
  <c r="J16" i="194"/>
  <c r="I16" i="194"/>
  <c r="H16" i="194"/>
  <c r="G16" i="194"/>
  <c r="F16" i="194"/>
  <c r="E16" i="194"/>
  <c r="D16" i="194"/>
  <c r="N15" i="194"/>
  <c r="M15" i="194"/>
  <c r="L15" i="194"/>
  <c r="K15" i="194"/>
  <c r="J15" i="194"/>
  <c r="I15" i="194"/>
  <c r="H15" i="194"/>
  <c r="G15" i="194"/>
  <c r="F15" i="194"/>
  <c r="E15" i="194"/>
  <c r="O15" i="194" s="1"/>
  <c r="D15" i="194"/>
  <c r="N14" i="194"/>
  <c r="M14" i="194"/>
  <c r="L14" i="194"/>
  <c r="K14" i="194"/>
  <c r="J14" i="194"/>
  <c r="I14" i="194"/>
  <c r="H14" i="194"/>
  <c r="G14" i="194"/>
  <c r="F14" i="194"/>
  <c r="E14" i="194"/>
  <c r="D14" i="194"/>
  <c r="N13" i="194"/>
  <c r="M13" i="194"/>
  <c r="L13" i="194"/>
  <c r="K13" i="194"/>
  <c r="J13" i="194"/>
  <c r="I13" i="194"/>
  <c r="H13" i="194"/>
  <c r="G13" i="194"/>
  <c r="F13" i="194"/>
  <c r="E13" i="194"/>
  <c r="D13" i="194"/>
  <c r="N12" i="194"/>
  <c r="M12" i="194"/>
  <c r="L12" i="194"/>
  <c r="K12" i="194"/>
  <c r="J12" i="194"/>
  <c r="I12" i="194"/>
  <c r="H12" i="194"/>
  <c r="G12" i="194"/>
  <c r="F12" i="194"/>
  <c r="E12" i="194"/>
  <c r="D12" i="194"/>
  <c r="N11" i="194"/>
  <c r="M11" i="194"/>
  <c r="L11" i="194"/>
  <c r="K11" i="194"/>
  <c r="J11" i="194"/>
  <c r="I11" i="194"/>
  <c r="H11" i="194"/>
  <c r="G11" i="194"/>
  <c r="F11" i="194"/>
  <c r="E11" i="194"/>
  <c r="O11" i="194" s="1"/>
  <c r="D11" i="194"/>
  <c r="N10" i="194"/>
  <c r="M10" i="194"/>
  <c r="L10" i="194"/>
  <c r="K10" i="194"/>
  <c r="J10" i="194"/>
  <c r="I10" i="194"/>
  <c r="H10" i="194"/>
  <c r="G10" i="194"/>
  <c r="F10" i="194"/>
  <c r="E10" i="194"/>
  <c r="D10" i="194"/>
  <c r="N9" i="194"/>
  <c r="M9" i="194"/>
  <c r="L9" i="194"/>
  <c r="K9" i="194"/>
  <c r="J9" i="194"/>
  <c r="I9" i="194"/>
  <c r="H9" i="194"/>
  <c r="G9" i="194"/>
  <c r="F9" i="194"/>
  <c r="E9" i="194"/>
  <c r="D9" i="194"/>
  <c r="N8" i="194"/>
  <c r="M8" i="194"/>
  <c r="L8" i="194"/>
  <c r="K8" i="194"/>
  <c r="J8" i="194"/>
  <c r="I8" i="194"/>
  <c r="H8" i="194"/>
  <c r="G8" i="194"/>
  <c r="F8" i="194"/>
  <c r="E8" i="194"/>
  <c r="D8" i="194"/>
  <c r="N7" i="194"/>
  <c r="M7" i="194"/>
  <c r="L7" i="194"/>
  <c r="K7" i="194"/>
  <c r="J7" i="194"/>
  <c r="I7" i="194"/>
  <c r="H7" i="194"/>
  <c r="G7" i="194"/>
  <c r="F7" i="194"/>
  <c r="E7" i="194"/>
  <c r="O7" i="194" s="1"/>
  <c r="D7" i="194"/>
  <c r="N6" i="194"/>
  <c r="M6" i="194"/>
  <c r="L6" i="194"/>
  <c r="K6" i="194"/>
  <c r="J6" i="194"/>
  <c r="I6" i="194"/>
  <c r="H6" i="194"/>
  <c r="G6" i="194"/>
  <c r="F6" i="194"/>
  <c r="E6" i="194"/>
  <c r="D6" i="194"/>
  <c r="N5" i="194"/>
  <c r="M5" i="194"/>
  <c r="L5" i="194"/>
  <c r="K5" i="194"/>
  <c r="J5" i="194"/>
  <c r="I5" i="194"/>
  <c r="H5" i="194"/>
  <c r="G5" i="194"/>
  <c r="F5" i="194"/>
  <c r="E5" i="194"/>
  <c r="D5" i="194"/>
  <c r="N4" i="194"/>
  <c r="M4" i="194"/>
  <c r="L4" i="194"/>
  <c r="K4" i="194"/>
  <c r="J4" i="194"/>
  <c r="I4" i="194"/>
  <c r="H4" i="194"/>
  <c r="G4" i="194"/>
  <c r="F4" i="194"/>
  <c r="E4" i="194"/>
  <c r="D4" i="194"/>
  <c r="N3" i="194"/>
  <c r="N21" i="194" s="1"/>
  <c r="M3" i="194"/>
  <c r="L3" i="194"/>
  <c r="L21" i="194" s="1"/>
  <c r="K3" i="194"/>
  <c r="K21" i="194" s="1"/>
  <c r="J3" i="194"/>
  <c r="J21" i="194" s="1"/>
  <c r="I3" i="194"/>
  <c r="H3" i="194"/>
  <c r="H21" i="194" s="1"/>
  <c r="G3" i="194"/>
  <c r="G21" i="194" s="1"/>
  <c r="F3" i="194"/>
  <c r="F21" i="194" s="1"/>
  <c r="E3" i="194"/>
  <c r="O3" i="194" s="1"/>
  <c r="D3" i="194"/>
  <c r="D21" i="194" s="1"/>
  <c r="J822" i="193"/>
  <c r="N822" i="193"/>
  <c r="J800" i="193"/>
  <c r="J808" i="193" s="1"/>
  <c r="N800" i="193"/>
  <c r="N808" i="193" s="1"/>
  <c r="J748" i="193"/>
  <c r="J751" i="193" s="1"/>
  <c r="N748" i="193"/>
  <c r="N751" i="193" s="1"/>
  <c r="J711" i="193"/>
  <c r="J716" i="193" s="1"/>
  <c r="N711" i="193"/>
  <c r="N716" i="193" s="1"/>
  <c r="J680" i="193"/>
  <c r="J692" i="193" s="1"/>
  <c r="N680" i="193"/>
  <c r="N692" i="193" s="1"/>
  <c r="J488" i="193"/>
  <c r="J667" i="193" s="1"/>
  <c r="N488" i="193"/>
  <c r="N667" i="193" s="1"/>
  <c r="H474" i="193"/>
  <c r="P474" i="193"/>
  <c r="N347" i="193"/>
  <c r="N474" i="193" s="1"/>
  <c r="L232" i="193"/>
  <c r="J227" i="193"/>
  <c r="J232" i="193" s="1"/>
  <c r="N824" i="193"/>
  <c r="M824" i="193"/>
  <c r="L824" i="193"/>
  <c r="K824" i="193"/>
  <c r="J824" i="193"/>
  <c r="I824" i="193"/>
  <c r="H824" i="193"/>
  <c r="G824" i="193"/>
  <c r="P821" i="193"/>
  <c r="O821" i="193"/>
  <c r="N821" i="193"/>
  <c r="M821" i="193"/>
  <c r="L821" i="193"/>
  <c r="K821" i="193"/>
  <c r="J821" i="193"/>
  <c r="I821" i="193"/>
  <c r="H821" i="193"/>
  <c r="G821" i="193"/>
  <c r="P820" i="193"/>
  <c r="O820" i="193"/>
  <c r="N820" i="193"/>
  <c r="M820" i="193"/>
  <c r="L820" i="193"/>
  <c r="K820" i="193"/>
  <c r="J820" i="193"/>
  <c r="I820" i="193"/>
  <c r="H820" i="193"/>
  <c r="G820" i="193"/>
  <c r="P818" i="193"/>
  <c r="O818" i="193"/>
  <c r="N818" i="193"/>
  <c r="M818" i="193"/>
  <c r="L818" i="193"/>
  <c r="K818" i="193"/>
  <c r="J818" i="193"/>
  <c r="I818" i="193"/>
  <c r="H818" i="193"/>
  <c r="G818" i="193"/>
  <c r="P817" i="193"/>
  <c r="O817" i="193"/>
  <c r="N817" i="193"/>
  <c r="M817" i="193"/>
  <c r="L817" i="193"/>
  <c r="Q817" i="193" s="1"/>
  <c r="K817" i="193"/>
  <c r="J817" i="193"/>
  <c r="I817" i="193"/>
  <c r="H817" i="193"/>
  <c r="G817" i="193"/>
  <c r="P816" i="193"/>
  <c r="O816" i="193"/>
  <c r="N816" i="193"/>
  <c r="M816" i="193"/>
  <c r="L816" i="193"/>
  <c r="K816" i="193"/>
  <c r="J816" i="193"/>
  <c r="I816" i="193"/>
  <c r="H816" i="193"/>
  <c r="G816" i="193"/>
  <c r="P815" i="193"/>
  <c r="O815" i="193"/>
  <c r="N815" i="193"/>
  <c r="M815" i="193"/>
  <c r="L815" i="193"/>
  <c r="K815" i="193"/>
  <c r="J815" i="193"/>
  <c r="I815" i="193"/>
  <c r="H815" i="193"/>
  <c r="G815" i="193"/>
  <c r="P814" i="193"/>
  <c r="O814" i="193"/>
  <c r="N814" i="193"/>
  <c r="M814" i="193"/>
  <c r="L814" i="193"/>
  <c r="K814" i="193"/>
  <c r="J814" i="193"/>
  <c r="I814" i="193"/>
  <c r="H814" i="193"/>
  <c r="G814" i="193"/>
  <c r="P813" i="193"/>
  <c r="O813" i="193"/>
  <c r="N813" i="193"/>
  <c r="M813" i="193"/>
  <c r="L813" i="193"/>
  <c r="K813" i="193"/>
  <c r="J813" i="193"/>
  <c r="I813" i="193"/>
  <c r="H813" i="193"/>
  <c r="G813" i="193"/>
  <c r="P812" i="193"/>
  <c r="O812" i="193"/>
  <c r="N812" i="193"/>
  <c r="M812" i="193"/>
  <c r="L812" i="193"/>
  <c r="K812" i="193"/>
  <c r="J812" i="193"/>
  <c r="I812" i="193"/>
  <c r="H812" i="193"/>
  <c r="G812" i="193"/>
  <c r="P810" i="193"/>
  <c r="P822" i="193" s="1"/>
  <c r="O810" i="193"/>
  <c r="O822" i="193" s="1"/>
  <c r="N810" i="193"/>
  <c r="M810" i="193"/>
  <c r="L810" i="193"/>
  <c r="L822" i="193" s="1"/>
  <c r="K810" i="193"/>
  <c r="K822" i="193" s="1"/>
  <c r="J810" i="193"/>
  <c r="I810" i="193"/>
  <c r="I822" i="193" s="1"/>
  <c r="H810" i="193"/>
  <c r="H822" i="193" s="1"/>
  <c r="G810" i="193"/>
  <c r="P807" i="193"/>
  <c r="O807" i="193"/>
  <c r="N807" i="193"/>
  <c r="M807" i="193"/>
  <c r="L807" i="193"/>
  <c r="K807" i="193"/>
  <c r="J807" i="193"/>
  <c r="I807" i="193"/>
  <c r="H807" i="193"/>
  <c r="G807" i="193"/>
  <c r="P806" i="193"/>
  <c r="O806" i="193"/>
  <c r="N806" i="193"/>
  <c r="M806" i="193"/>
  <c r="L806" i="193"/>
  <c r="K806" i="193"/>
  <c r="J806" i="193"/>
  <c r="I806" i="193"/>
  <c r="H806" i="193"/>
  <c r="G806" i="193"/>
  <c r="P805" i="193"/>
  <c r="O805" i="193"/>
  <c r="N805" i="193"/>
  <c r="M805" i="193"/>
  <c r="L805" i="193"/>
  <c r="K805" i="193"/>
  <c r="J805" i="193"/>
  <c r="I805" i="193"/>
  <c r="H805" i="193"/>
  <c r="G805" i="193"/>
  <c r="P803" i="193"/>
  <c r="O803" i="193"/>
  <c r="N803" i="193"/>
  <c r="M803" i="193"/>
  <c r="L803" i="193"/>
  <c r="K803" i="193"/>
  <c r="J803" i="193"/>
  <c r="I803" i="193"/>
  <c r="H803" i="193"/>
  <c r="G803" i="193"/>
  <c r="P802" i="193"/>
  <c r="O802" i="193"/>
  <c r="N802" i="193"/>
  <c r="M802" i="193"/>
  <c r="L802" i="193"/>
  <c r="K802" i="193"/>
  <c r="J802" i="193"/>
  <c r="I802" i="193"/>
  <c r="H802" i="193"/>
  <c r="G802" i="193"/>
  <c r="P799" i="193"/>
  <c r="O799" i="193"/>
  <c r="N799" i="193"/>
  <c r="M799" i="193"/>
  <c r="L799" i="193"/>
  <c r="K799" i="193"/>
  <c r="J799" i="193"/>
  <c r="I799" i="193"/>
  <c r="H799" i="193"/>
  <c r="G799" i="193"/>
  <c r="P798" i="193"/>
  <c r="O798" i="193"/>
  <c r="N798" i="193"/>
  <c r="M798" i="193"/>
  <c r="L798" i="193"/>
  <c r="K798" i="193"/>
  <c r="J798" i="193"/>
  <c r="I798" i="193"/>
  <c r="H798" i="193"/>
  <c r="G798" i="193"/>
  <c r="P797" i="193"/>
  <c r="O797" i="193"/>
  <c r="N797" i="193"/>
  <c r="M797" i="193"/>
  <c r="L797" i="193"/>
  <c r="K797" i="193"/>
  <c r="J797" i="193"/>
  <c r="I797" i="193"/>
  <c r="H797" i="193"/>
  <c r="G797" i="193"/>
  <c r="P796" i="193"/>
  <c r="O796" i="193"/>
  <c r="N796" i="193"/>
  <c r="M796" i="193"/>
  <c r="L796" i="193"/>
  <c r="K796" i="193"/>
  <c r="J796" i="193"/>
  <c r="I796" i="193"/>
  <c r="H796" i="193"/>
  <c r="G796" i="193"/>
  <c r="P795" i="193"/>
  <c r="O795" i="193"/>
  <c r="N795" i="193"/>
  <c r="M795" i="193"/>
  <c r="L795" i="193"/>
  <c r="K795" i="193"/>
  <c r="J795" i="193"/>
  <c r="I795" i="193"/>
  <c r="H795" i="193"/>
  <c r="G795" i="193"/>
  <c r="P794" i="193"/>
  <c r="O794" i="193"/>
  <c r="N794" i="193"/>
  <c r="M794" i="193"/>
  <c r="L794" i="193"/>
  <c r="K794" i="193"/>
  <c r="J794" i="193"/>
  <c r="I794" i="193"/>
  <c r="H794" i="193"/>
  <c r="G794" i="193"/>
  <c r="P793" i="193"/>
  <c r="O793" i="193"/>
  <c r="N793" i="193"/>
  <c r="M793" i="193"/>
  <c r="L793" i="193"/>
  <c r="K793" i="193"/>
  <c r="J793" i="193"/>
  <c r="I793" i="193"/>
  <c r="H793" i="193"/>
  <c r="Q793" i="193" s="1"/>
  <c r="G793" i="193"/>
  <c r="P792" i="193"/>
  <c r="O792" i="193"/>
  <c r="N792" i="193"/>
  <c r="M792" i="193"/>
  <c r="L792" i="193"/>
  <c r="K792" i="193"/>
  <c r="J792" i="193"/>
  <c r="I792" i="193"/>
  <c r="H792" i="193"/>
  <c r="G792" i="193"/>
  <c r="P791" i="193"/>
  <c r="O791" i="193"/>
  <c r="N791" i="193"/>
  <c r="M791" i="193"/>
  <c r="L791" i="193"/>
  <c r="K791" i="193"/>
  <c r="J791" i="193"/>
  <c r="I791" i="193"/>
  <c r="H791" i="193"/>
  <c r="G791" i="193"/>
  <c r="P790" i="193"/>
  <c r="O790" i="193"/>
  <c r="N790" i="193"/>
  <c r="M790" i="193"/>
  <c r="L790" i="193"/>
  <c r="K790" i="193"/>
  <c r="J790" i="193"/>
  <c r="I790" i="193"/>
  <c r="H790" i="193"/>
  <c r="G790" i="193"/>
  <c r="P789" i="193"/>
  <c r="O789" i="193"/>
  <c r="N789" i="193"/>
  <c r="M789" i="193"/>
  <c r="L789" i="193"/>
  <c r="K789" i="193"/>
  <c r="J789" i="193"/>
  <c r="I789" i="193"/>
  <c r="H789" i="193"/>
  <c r="G789" i="193"/>
  <c r="P788" i="193"/>
  <c r="O788" i="193"/>
  <c r="N788" i="193"/>
  <c r="M788" i="193"/>
  <c r="L788" i="193"/>
  <c r="K788" i="193"/>
  <c r="J788" i="193"/>
  <c r="I788" i="193"/>
  <c r="H788" i="193"/>
  <c r="G788" i="193"/>
  <c r="P787" i="193"/>
  <c r="O787" i="193"/>
  <c r="N787" i="193"/>
  <c r="M787" i="193"/>
  <c r="L787" i="193"/>
  <c r="K787" i="193"/>
  <c r="J787" i="193"/>
  <c r="I787" i="193"/>
  <c r="H787" i="193"/>
  <c r="G787" i="193"/>
  <c r="P785" i="193"/>
  <c r="O785" i="193"/>
  <c r="N785" i="193"/>
  <c r="M785" i="193"/>
  <c r="L785" i="193"/>
  <c r="K785" i="193"/>
  <c r="J785" i="193"/>
  <c r="I785" i="193"/>
  <c r="H785" i="193"/>
  <c r="G785" i="193"/>
  <c r="P783" i="193"/>
  <c r="O783" i="193"/>
  <c r="N783" i="193"/>
  <c r="M783" i="193"/>
  <c r="L783" i="193"/>
  <c r="K783" i="193"/>
  <c r="J783" i="193"/>
  <c r="I783" i="193"/>
  <c r="H783" i="193"/>
  <c r="G783" i="193"/>
  <c r="P782" i="193"/>
  <c r="O782" i="193"/>
  <c r="N782" i="193"/>
  <c r="M782" i="193"/>
  <c r="L782" i="193"/>
  <c r="K782" i="193"/>
  <c r="J782" i="193"/>
  <c r="I782" i="193"/>
  <c r="H782" i="193"/>
  <c r="G782" i="193"/>
  <c r="K781" i="193"/>
  <c r="G781" i="193"/>
  <c r="P780" i="193"/>
  <c r="O780" i="193"/>
  <c r="N780" i="193"/>
  <c r="M780" i="193"/>
  <c r="L780" i="193"/>
  <c r="K780" i="193"/>
  <c r="J780" i="193"/>
  <c r="I780" i="193"/>
  <c r="H780" i="193"/>
  <c r="G780" i="193"/>
  <c r="P779" i="193"/>
  <c r="O779" i="193"/>
  <c r="N779" i="193"/>
  <c r="M779" i="193"/>
  <c r="L779" i="193"/>
  <c r="K779" i="193"/>
  <c r="J779" i="193"/>
  <c r="I779" i="193"/>
  <c r="H779" i="193"/>
  <c r="G779" i="193"/>
  <c r="P777" i="193"/>
  <c r="O777" i="193"/>
  <c r="N777" i="193"/>
  <c r="M777" i="193"/>
  <c r="L777" i="193"/>
  <c r="K777" i="193"/>
  <c r="J777" i="193"/>
  <c r="I777" i="193"/>
  <c r="H777" i="193"/>
  <c r="G777" i="193"/>
  <c r="P776" i="193"/>
  <c r="O776" i="193"/>
  <c r="N776" i="193"/>
  <c r="M776" i="193"/>
  <c r="L776" i="193"/>
  <c r="K776" i="193"/>
  <c r="J776" i="193"/>
  <c r="I776" i="193"/>
  <c r="H776" i="193"/>
  <c r="G776" i="193"/>
  <c r="P774" i="193"/>
  <c r="O774" i="193"/>
  <c r="N774" i="193"/>
  <c r="M774" i="193"/>
  <c r="L774" i="193"/>
  <c r="K774" i="193"/>
  <c r="J774" i="193"/>
  <c r="I774" i="193"/>
  <c r="H774" i="193"/>
  <c r="G774" i="193"/>
  <c r="P773" i="193"/>
  <c r="O773" i="193"/>
  <c r="N773" i="193"/>
  <c r="M773" i="193"/>
  <c r="L773" i="193"/>
  <c r="K773" i="193"/>
  <c r="J773" i="193"/>
  <c r="I773" i="193"/>
  <c r="H773" i="193"/>
  <c r="G773" i="193"/>
  <c r="P771" i="193"/>
  <c r="O771" i="193"/>
  <c r="N771" i="193"/>
  <c r="M771" i="193"/>
  <c r="L771" i="193"/>
  <c r="K771" i="193"/>
  <c r="J771" i="193"/>
  <c r="I771" i="193"/>
  <c r="H771" i="193"/>
  <c r="G771" i="193"/>
  <c r="P770" i="193"/>
  <c r="O770" i="193"/>
  <c r="N770" i="193"/>
  <c r="M770" i="193"/>
  <c r="L770" i="193"/>
  <c r="K770" i="193"/>
  <c r="J770" i="193"/>
  <c r="I770" i="193"/>
  <c r="H770" i="193"/>
  <c r="G770" i="193"/>
  <c r="P769" i="193"/>
  <c r="O769" i="193"/>
  <c r="N769" i="193"/>
  <c r="M769" i="193"/>
  <c r="L769" i="193"/>
  <c r="K769" i="193"/>
  <c r="J769" i="193"/>
  <c r="I769" i="193"/>
  <c r="H769" i="193"/>
  <c r="G769" i="193"/>
  <c r="P767" i="193"/>
  <c r="O767" i="193"/>
  <c r="N767" i="193"/>
  <c r="M767" i="193"/>
  <c r="L767" i="193"/>
  <c r="K767" i="193"/>
  <c r="J767" i="193"/>
  <c r="I767" i="193"/>
  <c r="H767" i="193"/>
  <c r="G767" i="193"/>
  <c r="P766" i="193"/>
  <c r="O766" i="193"/>
  <c r="N766" i="193"/>
  <c r="M766" i="193"/>
  <c r="L766" i="193"/>
  <c r="K766" i="193"/>
  <c r="J766" i="193"/>
  <c r="I766" i="193"/>
  <c r="H766" i="193"/>
  <c r="G766" i="193"/>
  <c r="P765" i="193"/>
  <c r="O765" i="193"/>
  <c r="N765" i="193"/>
  <c r="M765" i="193"/>
  <c r="L765" i="193"/>
  <c r="K765" i="193"/>
  <c r="J765" i="193"/>
  <c r="I765" i="193"/>
  <c r="H765" i="193"/>
  <c r="G765" i="193"/>
  <c r="P764" i="193"/>
  <c r="O764" i="193"/>
  <c r="N764" i="193"/>
  <c r="M764" i="193"/>
  <c r="L764" i="193"/>
  <c r="K764" i="193"/>
  <c r="J764" i="193"/>
  <c r="I764" i="193"/>
  <c r="H764" i="193"/>
  <c r="G764" i="193"/>
  <c r="P763" i="193"/>
  <c r="O763" i="193"/>
  <c r="N763" i="193"/>
  <c r="M763" i="193"/>
  <c r="L763" i="193"/>
  <c r="K763" i="193"/>
  <c r="J763" i="193"/>
  <c r="I763" i="193"/>
  <c r="H763" i="193"/>
  <c r="G763" i="193"/>
  <c r="P762" i="193"/>
  <c r="O762" i="193"/>
  <c r="N762" i="193"/>
  <c r="M762" i="193"/>
  <c r="L762" i="193"/>
  <c r="K762" i="193"/>
  <c r="J762" i="193"/>
  <c r="I762" i="193"/>
  <c r="H762" i="193"/>
  <c r="G762" i="193"/>
  <c r="P761" i="193"/>
  <c r="O761" i="193"/>
  <c r="N761" i="193"/>
  <c r="M761" i="193"/>
  <c r="L761" i="193"/>
  <c r="K761" i="193"/>
  <c r="J761" i="193"/>
  <c r="I761" i="193"/>
  <c r="H761" i="193"/>
  <c r="G761" i="193"/>
  <c r="P760" i="193"/>
  <c r="O760" i="193"/>
  <c r="N760" i="193"/>
  <c r="M760" i="193"/>
  <c r="L760" i="193"/>
  <c r="K760" i="193"/>
  <c r="J760" i="193"/>
  <c r="I760" i="193"/>
  <c r="H760" i="193"/>
  <c r="G760" i="193"/>
  <c r="P759" i="193"/>
  <c r="O759" i="193"/>
  <c r="N759" i="193"/>
  <c r="M759" i="193"/>
  <c r="L759" i="193"/>
  <c r="K759" i="193"/>
  <c r="J759" i="193"/>
  <c r="I759" i="193"/>
  <c r="H759" i="193"/>
  <c r="G759" i="193"/>
  <c r="P758" i="193"/>
  <c r="O758" i="193"/>
  <c r="N758" i="193"/>
  <c r="M758" i="193"/>
  <c r="L758" i="193"/>
  <c r="K758" i="193"/>
  <c r="J758" i="193"/>
  <c r="I758" i="193"/>
  <c r="H758" i="193"/>
  <c r="G758" i="193"/>
  <c r="P757" i="193"/>
  <c r="P800" i="193" s="1"/>
  <c r="P808" i="193" s="1"/>
  <c r="O757" i="193"/>
  <c r="O800" i="193" s="1"/>
  <c r="O808" i="193" s="1"/>
  <c r="N757" i="193"/>
  <c r="M757" i="193"/>
  <c r="M800" i="193" s="1"/>
  <c r="M808" i="193" s="1"/>
  <c r="L757" i="193"/>
  <c r="L800" i="193" s="1"/>
  <c r="L808" i="193" s="1"/>
  <c r="K757" i="193"/>
  <c r="K800" i="193" s="1"/>
  <c r="K808" i="193" s="1"/>
  <c r="J757" i="193"/>
  <c r="I757" i="193"/>
  <c r="I800" i="193" s="1"/>
  <c r="I808" i="193" s="1"/>
  <c r="H757" i="193"/>
  <c r="H800" i="193" s="1"/>
  <c r="H808" i="193" s="1"/>
  <c r="G757" i="193"/>
  <c r="P750" i="193"/>
  <c r="O750" i="193"/>
  <c r="N750" i="193"/>
  <c r="Q750" i="193" s="1"/>
  <c r="M750" i="193"/>
  <c r="L750" i="193"/>
  <c r="K750" i="193"/>
  <c r="J750" i="193"/>
  <c r="I750" i="193"/>
  <c r="H750" i="193"/>
  <c r="G750" i="193"/>
  <c r="P747" i="193"/>
  <c r="O747" i="193"/>
  <c r="N747" i="193"/>
  <c r="M747" i="193"/>
  <c r="L747" i="193"/>
  <c r="K747" i="193"/>
  <c r="J747" i="193"/>
  <c r="I747" i="193"/>
  <c r="H747" i="193"/>
  <c r="Q747" i="193" s="1"/>
  <c r="G747" i="193"/>
  <c r="P745" i="193"/>
  <c r="O745" i="193"/>
  <c r="N745" i="193"/>
  <c r="M745" i="193"/>
  <c r="L745" i="193"/>
  <c r="K745" i="193"/>
  <c r="J745" i="193"/>
  <c r="I745" i="193"/>
  <c r="H745" i="193"/>
  <c r="G745" i="193"/>
  <c r="P743" i="193"/>
  <c r="O743" i="193"/>
  <c r="N743" i="193"/>
  <c r="M743" i="193"/>
  <c r="L743" i="193"/>
  <c r="K743" i="193"/>
  <c r="J743" i="193"/>
  <c r="I743" i="193"/>
  <c r="H743" i="193"/>
  <c r="G743" i="193"/>
  <c r="Q743" i="193" s="1"/>
  <c r="P741" i="193"/>
  <c r="O741" i="193"/>
  <c r="N741" i="193"/>
  <c r="M741" i="193"/>
  <c r="L741" i="193"/>
  <c r="K741" i="193"/>
  <c r="J741" i="193"/>
  <c r="I741" i="193"/>
  <c r="H741" i="193"/>
  <c r="G741" i="193"/>
  <c r="P740" i="193"/>
  <c r="O740" i="193"/>
  <c r="N740" i="193"/>
  <c r="M740" i="193"/>
  <c r="L740" i="193"/>
  <c r="K740" i="193"/>
  <c r="J740" i="193"/>
  <c r="I740" i="193"/>
  <c r="H740" i="193"/>
  <c r="G740" i="193"/>
  <c r="P738" i="193"/>
  <c r="O738" i="193"/>
  <c r="N738" i="193"/>
  <c r="M738" i="193"/>
  <c r="L738" i="193"/>
  <c r="K738" i="193"/>
  <c r="J738" i="193"/>
  <c r="I738" i="193"/>
  <c r="Q738" i="193" s="1"/>
  <c r="H738" i="193"/>
  <c r="G738" i="193"/>
  <c r="P736" i="193"/>
  <c r="O736" i="193"/>
  <c r="N736" i="193"/>
  <c r="M736" i="193"/>
  <c r="L736" i="193"/>
  <c r="K736" i="193"/>
  <c r="J736" i="193"/>
  <c r="I736" i="193"/>
  <c r="H736" i="193"/>
  <c r="G736" i="193"/>
  <c r="P734" i="193"/>
  <c r="O734" i="193"/>
  <c r="N734" i="193"/>
  <c r="M734" i="193"/>
  <c r="L734" i="193"/>
  <c r="K734" i="193"/>
  <c r="J734" i="193"/>
  <c r="I734" i="193"/>
  <c r="H734" i="193"/>
  <c r="G734" i="193"/>
  <c r="P732" i="193"/>
  <c r="O732" i="193"/>
  <c r="N732" i="193"/>
  <c r="M732" i="193"/>
  <c r="L732" i="193"/>
  <c r="K732" i="193"/>
  <c r="J732" i="193"/>
  <c r="I732" i="193"/>
  <c r="H732" i="193"/>
  <c r="G732" i="193"/>
  <c r="P731" i="193"/>
  <c r="O731" i="193"/>
  <c r="N731" i="193"/>
  <c r="M731" i="193"/>
  <c r="L731" i="193"/>
  <c r="K731" i="193"/>
  <c r="J731" i="193"/>
  <c r="I731" i="193"/>
  <c r="H731" i="193"/>
  <c r="G731" i="193"/>
  <c r="P729" i="193"/>
  <c r="O729" i="193"/>
  <c r="N729" i="193"/>
  <c r="M729" i="193"/>
  <c r="L729" i="193"/>
  <c r="K729" i="193"/>
  <c r="J729" i="193"/>
  <c r="I729" i="193"/>
  <c r="H729" i="193"/>
  <c r="G729" i="193"/>
  <c r="P727" i="193"/>
  <c r="O727" i="193"/>
  <c r="N727" i="193"/>
  <c r="M727" i="193"/>
  <c r="L727" i="193"/>
  <c r="K727" i="193"/>
  <c r="J727" i="193"/>
  <c r="I727" i="193"/>
  <c r="Q727" i="193" s="1"/>
  <c r="H727" i="193"/>
  <c r="G727" i="193"/>
  <c r="P726" i="193"/>
  <c r="O726" i="193"/>
  <c r="N726" i="193"/>
  <c r="M726" i="193"/>
  <c r="L726" i="193"/>
  <c r="K726" i="193"/>
  <c r="J726" i="193"/>
  <c r="I726" i="193"/>
  <c r="H726" i="193"/>
  <c r="G726" i="193"/>
  <c r="P725" i="193"/>
  <c r="O725" i="193"/>
  <c r="N725" i="193"/>
  <c r="M725" i="193"/>
  <c r="L725" i="193"/>
  <c r="K725" i="193"/>
  <c r="J725" i="193"/>
  <c r="I725" i="193"/>
  <c r="H725" i="193"/>
  <c r="G725" i="193"/>
  <c r="P724" i="193"/>
  <c r="O724" i="193"/>
  <c r="N724" i="193"/>
  <c r="M724" i="193"/>
  <c r="L724" i="193"/>
  <c r="K724" i="193"/>
  <c r="J724" i="193"/>
  <c r="I724" i="193"/>
  <c r="H724" i="193"/>
  <c r="G724" i="193"/>
  <c r="P722" i="193"/>
  <c r="O722" i="193"/>
  <c r="N722" i="193"/>
  <c r="M722" i="193"/>
  <c r="L722" i="193"/>
  <c r="K722" i="193"/>
  <c r="J722" i="193"/>
  <c r="I722" i="193"/>
  <c r="H722" i="193"/>
  <c r="G722" i="193"/>
  <c r="P721" i="193"/>
  <c r="O721" i="193"/>
  <c r="N721" i="193"/>
  <c r="M721" i="193"/>
  <c r="L721" i="193"/>
  <c r="K721" i="193"/>
  <c r="J721" i="193"/>
  <c r="I721" i="193"/>
  <c r="H721" i="193"/>
  <c r="G721" i="193"/>
  <c r="P720" i="193"/>
  <c r="O720" i="193"/>
  <c r="N720" i="193"/>
  <c r="M720" i="193"/>
  <c r="L720" i="193"/>
  <c r="K720" i="193"/>
  <c r="J720" i="193"/>
  <c r="I720" i="193"/>
  <c r="H720" i="193"/>
  <c r="G720" i="193"/>
  <c r="P719" i="193"/>
  <c r="P748" i="193" s="1"/>
  <c r="P751" i="193" s="1"/>
  <c r="O719" i="193"/>
  <c r="O748" i="193" s="1"/>
  <c r="O751" i="193" s="1"/>
  <c r="N719" i="193"/>
  <c r="M719" i="193"/>
  <c r="L719" i="193"/>
  <c r="L748" i="193" s="1"/>
  <c r="L751" i="193" s="1"/>
  <c r="K719" i="193"/>
  <c r="K748" i="193" s="1"/>
  <c r="K751" i="193" s="1"/>
  <c r="J719" i="193"/>
  <c r="I719" i="193"/>
  <c r="H719" i="193"/>
  <c r="H748" i="193" s="1"/>
  <c r="H751" i="193" s="1"/>
  <c r="G719" i="193"/>
  <c r="Q719" i="193" s="1"/>
  <c r="P715" i="193"/>
  <c r="O715" i="193"/>
  <c r="N715" i="193"/>
  <c r="M715" i="193"/>
  <c r="L715" i="193"/>
  <c r="K715" i="193"/>
  <c r="J715" i="193"/>
  <c r="I715" i="193"/>
  <c r="H715" i="193"/>
  <c r="G715" i="193"/>
  <c r="P713" i="193"/>
  <c r="O713" i="193"/>
  <c r="N713" i="193"/>
  <c r="M713" i="193"/>
  <c r="L713" i="193"/>
  <c r="K713" i="193"/>
  <c r="J713" i="193"/>
  <c r="I713" i="193"/>
  <c r="H713" i="193"/>
  <c r="G713" i="193"/>
  <c r="P710" i="193"/>
  <c r="O710" i="193"/>
  <c r="N710" i="193"/>
  <c r="M710" i="193"/>
  <c r="L710" i="193"/>
  <c r="K710" i="193"/>
  <c r="J710" i="193"/>
  <c r="I710" i="193"/>
  <c r="H710" i="193"/>
  <c r="G710" i="193"/>
  <c r="P709" i="193"/>
  <c r="O709" i="193"/>
  <c r="N709" i="193"/>
  <c r="M709" i="193"/>
  <c r="L709" i="193"/>
  <c r="K709" i="193"/>
  <c r="J709" i="193"/>
  <c r="I709" i="193"/>
  <c r="H709" i="193"/>
  <c r="G709" i="193"/>
  <c r="P708" i="193"/>
  <c r="O708" i="193"/>
  <c r="N708" i="193"/>
  <c r="M708" i="193"/>
  <c r="L708" i="193"/>
  <c r="K708" i="193"/>
  <c r="J708" i="193"/>
  <c r="I708" i="193"/>
  <c r="H708" i="193"/>
  <c r="G708" i="193"/>
  <c r="P706" i="193"/>
  <c r="O706" i="193"/>
  <c r="N706" i="193"/>
  <c r="M706" i="193"/>
  <c r="L706" i="193"/>
  <c r="K706" i="193"/>
  <c r="J706" i="193"/>
  <c r="I706" i="193"/>
  <c r="H706" i="193"/>
  <c r="G706" i="193"/>
  <c r="P705" i="193"/>
  <c r="O705" i="193"/>
  <c r="N705" i="193"/>
  <c r="M705" i="193"/>
  <c r="L705" i="193"/>
  <c r="K705" i="193"/>
  <c r="J705" i="193"/>
  <c r="I705" i="193"/>
  <c r="H705" i="193"/>
  <c r="G705" i="193"/>
  <c r="P704" i="193"/>
  <c r="O704" i="193"/>
  <c r="N704" i="193"/>
  <c r="M704" i="193"/>
  <c r="L704" i="193"/>
  <c r="K704" i="193"/>
  <c r="J704" i="193"/>
  <c r="I704" i="193"/>
  <c r="H704" i="193"/>
  <c r="G704" i="193"/>
  <c r="P703" i="193"/>
  <c r="O703" i="193"/>
  <c r="N703" i="193"/>
  <c r="M703" i="193"/>
  <c r="L703" i="193"/>
  <c r="K703" i="193"/>
  <c r="J703" i="193"/>
  <c r="I703" i="193"/>
  <c r="Q703" i="193" s="1"/>
  <c r="H703" i="193"/>
  <c r="G703" i="193"/>
  <c r="P701" i="193"/>
  <c r="O701" i="193"/>
  <c r="N701" i="193"/>
  <c r="M701" i="193"/>
  <c r="L701" i="193"/>
  <c r="K701" i="193"/>
  <c r="J701" i="193"/>
  <c r="I701" i="193"/>
  <c r="H701" i="193"/>
  <c r="G701" i="193"/>
  <c r="Q701" i="193" s="1"/>
  <c r="P700" i="193"/>
  <c r="O700" i="193"/>
  <c r="N700" i="193"/>
  <c r="M700" i="193"/>
  <c r="L700" i="193"/>
  <c r="K700" i="193"/>
  <c r="J700" i="193"/>
  <c r="I700" i="193"/>
  <c r="H700" i="193"/>
  <c r="G700" i="193"/>
  <c r="P698" i="193"/>
  <c r="O698" i="193"/>
  <c r="N698" i="193"/>
  <c r="M698" i="193"/>
  <c r="L698" i="193"/>
  <c r="K698" i="193"/>
  <c r="J698" i="193"/>
  <c r="I698" i="193"/>
  <c r="H698" i="193"/>
  <c r="G698" i="193"/>
  <c r="P697" i="193"/>
  <c r="O697" i="193"/>
  <c r="N697" i="193"/>
  <c r="M697" i="193"/>
  <c r="L697" i="193"/>
  <c r="K697" i="193"/>
  <c r="J697" i="193"/>
  <c r="I697" i="193"/>
  <c r="H697" i="193"/>
  <c r="G697" i="193"/>
  <c r="P696" i="193"/>
  <c r="O696" i="193"/>
  <c r="N696" i="193"/>
  <c r="M696" i="193"/>
  <c r="L696" i="193"/>
  <c r="K696" i="193"/>
  <c r="J696" i="193"/>
  <c r="I696" i="193"/>
  <c r="H696" i="193"/>
  <c r="G696" i="193"/>
  <c r="P695" i="193"/>
  <c r="P711" i="193" s="1"/>
  <c r="P716" i="193" s="1"/>
  <c r="O695" i="193"/>
  <c r="N695" i="193"/>
  <c r="M695" i="193"/>
  <c r="M711" i="193" s="1"/>
  <c r="M716" i="193" s="1"/>
  <c r="L695" i="193"/>
  <c r="L711" i="193" s="1"/>
  <c r="L716" i="193" s="1"/>
  <c r="K695" i="193"/>
  <c r="J695" i="193"/>
  <c r="I695" i="193"/>
  <c r="I711" i="193" s="1"/>
  <c r="I716" i="193" s="1"/>
  <c r="H695" i="193"/>
  <c r="H711" i="193" s="1"/>
  <c r="H716" i="193" s="1"/>
  <c r="G695" i="193"/>
  <c r="P691" i="193"/>
  <c r="O691" i="193"/>
  <c r="N691" i="193"/>
  <c r="M691" i="193"/>
  <c r="L691" i="193"/>
  <c r="K691" i="193"/>
  <c r="J691" i="193"/>
  <c r="I691" i="193"/>
  <c r="H691" i="193"/>
  <c r="G691" i="193"/>
  <c r="Q691" i="193" s="1"/>
  <c r="P690" i="193"/>
  <c r="O690" i="193"/>
  <c r="N690" i="193"/>
  <c r="M690" i="193"/>
  <c r="L690" i="193"/>
  <c r="K690" i="193"/>
  <c r="J690" i="193"/>
  <c r="I690" i="193"/>
  <c r="H690" i="193"/>
  <c r="G690" i="193"/>
  <c r="P689" i="193"/>
  <c r="O689" i="193"/>
  <c r="N689" i="193"/>
  <c r="M689" i="193"/>
  <c r="L689" i="193"/>
  <c r="K689" i="193"/>
  <c r="J689" i="193"/>
  <c r="I689" i="193"/>
  <c r="H689" i="193"/>
  <c r="G689" i="193"/>
  <c r="P688" i="193"/>
  <c r="O688" i="193"/>
  <c r="N688" i="193"/>
  <c r="M688" i="193"/>
  <c r="L688" i="193"/>
  <c r="K688" i="193"/>
  <c r="J688" i="193"/>
  <c r="I688" i="193"/>
  <c r="H688" i="193"/>
  <c r="G688" i="193"/>
  <c r="P687" i="193"/>
  <c r="O687" i="193"/>
  <c r="N687" i="193"/>
  <c r="M687" i="193"/>
  <c r="L687" i="193"/>
  <c r="K687" i="193"/>
  <c r="J687" i="193"/>
  <c r="I687" i="193"/>
  <c r="H687" i="193"/>
  <c r="G687" i="193"/>
  <c r="P685" i="193"/>
  <c r="O685" i="193"/>
  <c r="N685" i="193"/>
  <c r="M685" i="193"/>
  <c r="L685" i="193"/>
  <c r="K685" i="193"/>
  <c r="J685" i="193"/>
  <c r="I685" i="193"/>
  <c r="H685" i="193"/>
  <c r="G685" i="193"/>
  <c r="P684" i="193"/>
  <c r="O684" i="193"/>
  <c r="N684" i="193"/>
  <c r="M684" i="193"/>
  <c r="L684" i="193"/>
  <c r="K684" i="193"/>
  <c r="J684" i="193"/>
  <c r="I684" i="193"/>
  <c r="H684" i="193"/>
  <c r="G684" i="193"/>
  <c r="P683" i="193"/>
  <c r="O683" i="193"/>
  <c r="N683" i="193"/>
  <c r="M683" i="193"/>
  <c r="L683" i="193"/>
  <c r="K683" i="193"/>
  <c r="J683" i="193"/>
  <c r="I683" i="193"/>
  <c r="H683" i="193"/>
  <c r="G683" i="193"/>
  <c r="P682" i="193"/>
  <c r="O682" i="193"/>
  <c r="N682" i="193"/>
  <c r="M682" i="193"/>
  <c r="L682" i="193"/>
  <c r="K682" i="193"/>
  <c r="J682" i="193"/>
  <c r="I682" i="193"/>
  <c r="H682" i="193"/>
  <c r="G682" i="193"/>
  <c r="Q682" i="193" s="1"/>
  <c r="P679" i="193"/>
  <c r="O679" i="193"/>
  <c r="N679" i="193"/>
  <c r="M679" i="193"/>
  <c r="L679" i="193"/>
  <c r="K679" i="193"/>
  <c r="J679" i="193"/>
  <c r="I679" i="193"/>
  <c r="H679" i="193"/>
  <c r="G679" i="193"/>
  <c r="P677" i="193"/>
  <c r="O677" i="193"/>
  <c r="N677" i="193"/>
  <c r="M677" i="193"/>
  <c r="L677" i="193"/>
  <c r="K677" i="193"/>
  <c r="J677" i="193"/>
  <c r="I677" i="193"/>
  <c r="H677" i="193"/>
  <c r="G677" i="193"/>
  <c r="P676" i="193"/>
  <c r="O676" i="193"/>
  <c r="N676" i="193"/>
  <c r="M676" i="193"/>
  <c r="L676" i="193"/>
  <c r="K676" i="193"/>
  <c r="J676" i="193"/>
  <c r="I676" i="193"/>
  <c r="Q676" i="193" s="1"/>
  <c r="H676" i="193"/>
  <c r="G676" i="193"/>
  <c r="P675" i="193"/>
  <c r="O675" i="193"/>
  <c r="N675" i="193"/>
  <c r="M675" i="193"/>
  <c r="L675" i="193"/>
  <c r="K675" i="193"/>
  <c r="J675" i="193"/>
  <c r="I675" i="193"/>
  <c r="H675" i="193"/>
  <c r="G675" i="193"/>
  <c r="Q675" i="193" s="1"/>
  <c r="P674" i="193"/>
  <c r="O674" i="193"/>
  <c r="N674" i="193"/>
  <c r="M674" i="193"/>
  <c r="L674" i="193"/>
  <c r="K674" i="193"/>
  <c r="J674" i="193"/>
  <c r="I674" i="193"/>
  <c r="Q674" i="193" s="1"/>
  <c r="H674" i="193"/>
  <c r="G674" i="193"/>
  <c r="P673" i="193"/>
  <c r="O673" i="193"/>
  <c r="N673" i="193"/>
  <c r="M673" i="193"/>
  <c r="L673" i="193"/>
  <c r="K673" i="193"/>
  <c r="J673" i="193"/>
  <c r="I673" i="193"/>
  <c r="H673" i="193"/>
  <c r="G673" i="193"/>
  <c r="P672" i="193"/>
  <c r="O672" i="193"/>
  <c r="N672" i="193"/>
  <c r="M672" i="193"/>
  <c r="L672" i="193"/>
  <c r="K672" i="193"/>
  <c r="J672" i="193"/>
  <c r="I672" i="193"/>
  <c r="H672" i="193"/>
  <c r="G672" i="193"/>
  <c r="P671" i="193"/>
  <c r="O671" i="193"/>
  <c r="N671" i="193"/>
  <c r="M671" i="193"/>
  <c r="L671" i="193"/>
  <c r="K671" i="193"/>
  <c r="J671" i="193"/>
  <c r="I671" i="193"/>
  <c r="H671" i="193"/>
  <c r="G671" i="193"/>
  <c r="P670" i="193"/>
  <c r="P680" i="193" s="1"/>
  <c r="P692" i="193" s="1"/>
  <c r="O670" i="193"/>
  <c r="N670" i="193"/>
  <c r="M670" i="193"/>
  <c r="M680" i="193" s="1"/>
  <c r="M692" i="193" s="1"/>
  <c r="L670" i="193"/>
  <c r="L680" i="193" s="1"/>
  <c r="L692" i="193" s="1"/>
  <c r="K670" i="193"/>
  <c r="J670" i="193"/>
  <c r="I670" i="193"/>
  <c r="I680" i="193" s="1"/>
  <c r="I692" i="193" s="1"/>
  <c r="H670" i="193"/>
  <c r="H680" i="193" s="1"/>
  <c r="H692" i="193" s="1"/>
  <c r="G670" i="193"/>
  <c r="P666" i="193"/>
  <c r="O666" i="193"/>
  <c r="N666" i="193"/>
  <c r="M666" i="193"/>
  <c r="L666" i="193"/>
  <c r="K666" i="193"/>
  <c r="J666" i="193"/>
  <c r="I666" i="193"/>
  <c r="H666" i="193"/>
  <c r="G666" i="193"/>
  <c r="P665" i="193"/>
  <c r="O665" i="193"/>
  <c r="N665" i="193"/>
  <c r="M665" i="193"/>
  <c r="L665" i="193"/>
  <c r="K665" i="193"/>
  <c r="J665" i="193"/>
  <c r="I665" i="193"/>
  <c r="H665" i="193"/>
  <c r="G665" i="193"/>
  <c r="P664" i="193"/>
  <c r="O664" i="193"/>
  <c r="N664" i="193"/>
  <c r="M664" i="193"/>
  <c r="L664" i="193"/>
  <c r="K664" i="193"/>
  <c r="J664" i="193"/>
  <c r="I664" i="193"/>
  <c r="H664" i="193"/>
  <c r="G664" i="193"/>
  <c r="P663" i="193"/>
  <c r="O663" i="193"/>
  <c r="N663" i="193"/>
  <c r="M663" i="193"/>
  <c r="L663" i="193"/>
  <c r="K663" i="193"/>
  <c r="J663" i="193"/>
  <c r="I663" i="193"/>
  <c r="Q663" i="193" s="1"/>
  <c r="H663" i="193"/>
  <c r="G663" i="193"/>
  <c r="P662" i="193"/>
  <c r="O662" i="193"/>
  <c r="N662" i="193"/>
  <c r="M662" i="193"/>
  <c r="L662" i="193"/>
  <c r="K662" i="193"/>
  <c r="J662" i="193"/>
  <c r="I662" i="193"/>
  <c r="H662" i="193"/>
  <c r="G662" i="193"/>
  <c r="Q662" i="193" s="1"/>
  <c r="P661" i="193"/>
  <c r="O661" i="193"/>
  <c r="N661" i="193"/>
  <c r="M661" i="193"/>
  <c r="L661" i="193"/>
  <c r="K661" i="193"/>
  <c r="J661" i="193"/>
  <c r="I661" i="193"/>
  <c r="H661" i="193"/>
  <c r="G661" i="193"/>
  <c r="P660" i="193"/>
  <c r="O660" i="193"/>
  <c r="N660" i="193"/>
  <c r="M660" i="193"/>
  <c r="L660" i="193"/>
  <c r="K660" i="193"/>
  <c r="J660" i="193"/>
  <c r="I660" i="193"/>
  <c r="H660" i="193"/>
  <c r="G660" i="193"/>
  <c r="P658" i="193"/>
  <c r="O658" i="193"/>
  <c r="N658" i="193"/>
  <c r="M658" i="193"/>
  <c r="L658" i="193"/>
  <c r="K658" i="193"/>
  <c r="J658" i="193"/>
  <c r="I658" i="193"/>
  <c r="H658" i="193"/>
  <c r="G658" i="193"/>
  <c r="P657" i="193"/>
  <c r="O657" i="193"/>
  <c r="N657" i="193"/>
  <c r="M657" i="193"/>
  <c r="L657" i="193"/>
  <c r="K657" i="193"/>
  <c r="J657" i="193"/>
  <c r="I657" i="193"/>
  <c r="H657" i="193"/>
  <c r="G657" i="193"/>
  <c r="P656" i="193"/>
  <c r="O656" i="193"/>
  <c r="N656" i="193"/>
  <c r="M656" i="193"/>
  <c r="L656" i="193"/>
  <c r="K656" i="193"/>
  <c r="J656" i="193"/>
  <c r="I656" i="193"/>
  <c r="H656" i="193"/>
  <c r="G656" i="193"/>
  <c r="P654" i="193"/>
  <c r="O654" i="193"/>
  <c r="N654" i="193"/>
  <c r="M654" i="193"/>
  <c r="L654" i="193"/>
  <c r="K654" i="193"/>
  <c r="J654" i="193"/>
  <c r="I654" i="193"/>
  <c r="H654" i="193"/>
  <c r="G654" i="193"/>
  <c r="P653" i="193"/>
  <c r="O653" i="193"/>
  <c r="N653" i="193"/>
  <c r="M653" i="193"/>
  <c r="L653" i="193"/>
  <c r="K653" i="193"/>
  <c r="J653" i="193"/>
  <c r="I653" i="193"/>
  <c r="Q653" i="193" s="1"/>
  <c r="H653" i="193"/>
  <c r="G653" i="193"/>
  <c r="P652" i="193"/>
  <c r="O652" i="193"/>
  <c r="N652" i="193"/>
  <c r="M652" i="193"/>
  <c r="L652" i="193"/>
  <c r="K652" i="193"/>
  <c r="J652" i="193"/>
  <c r="I652" i="193"/>
  <c r="H652" i="193"/>
  <c r="G652" i="193"/>
  <c r="P651" i="193"/>
  <c r="O651" i="193"/>
  <c r="N651" i="193"/>
  <c r="M651" i="193"/>
  <c r="L651" i="193"/>
  <c r="K651" i="193"/>
  <c r="J651" i="193"/>
  <c r="I651" i="193"/>
  <c r="H651" i="193"/>
  <c r="G651" i="193"/>
  <c r="P648" i="193"/>
  <c r="O648" i="193"/>
  <c r="N648" i="193"/>
  <c r="M648" i="193"/>
  <c r="L648" i="193"/>
  <c r="K648" i="193"/>
  <c r="J648" i="193"/>
  <c r="I648" i="193"/>
  <c r="H648" i="193"/>
  <c r="G648" i="193"/>
  <c r="P647" i="193"/>
  <c r="O647" i="193"/>
  <c r="N647" i="193"/>
  <c r="M647" i="193"/>
  <c r="L647" i="193"/>
  <c r="K647" i="193"/>
  <c r="J647" i="193"/>
  <c r="I647" i="193"/>
  <c r="H647" i="193"/>
  <c r="G647" i="193"/>
  <c r="P646" i="193"/>
  <c r="O646" i="193"/>
  <c r="N646" i="193"/>
  <c r="M646" i="193"/>
  <c r="L646" i="193"/>
  <c r="K646" i="193"/>
  <c r="J646" i="193"/>
  <c r="I646" i="193"/>
  <c r="H646" i="193"/>
  <c r="G646" i="193"/>
  <c r="Q646" i="193" s="1"/>
  <c r="P645" i="193"/>
  <c r="O645" i="193"/>
  <c r="N645" i="193"/>
  <c r="M645" i="193"/>
  <c r="L645" i="193"/>
  <c r="K645" i="193"/>
  <c r="J645" i="193"/>
  <c r="I645" i="193"/>
  <c r="H645" i="193"/>
  <c r="G645" i="193"/>
  <c r="P644" i="193"/>
  <c r="O644" i="193"/>
  <c r="N644" i="193"/>
  <c r="M644" i="193"/>
  <c r="L644" i="193"/>
  <c r="K644" i="193"/>
  <c r="J644" i="193"/>
  <c r="I644" i="193"/>
  <c r="H644" i="193"/>
  <c r="G644" i="193"/>
  <c r="P643" i="193"/>
  <c r="O643" i="193"/>
  <c r="N643" i="193"/>
  <c r="M643" i="193"/>
  <c r="L643" i="193"/>
  <c r="K643" i="193"/>
  <c r="J643" i="193"/>
  <c r="I643" i="193"/>
  <c r="H643" i="193"/>
  <c r="G643" i="193"/>
  <c r="P641" i="193"/>
  <c r="O641" i="193"/>
  <c r="N641" i="193"/>
  <c r="M641" i="193"/>
  <c r="L641" i="193"/>
  <c r="K641" i="193"/>
  <c r="J641" i="193"/>
  <c r="I641" i="193"/>
  <c r="H641" i="193"/>
  <c r="G641" i="193"/>
  <c r="P640" i="193"/>
  <c r="O640" i="193"/>
  <c r="N640" i="193"/>
  <c r="M640" i="193"/>
  <c r="L640" i="193"/>
  <c r="K640" i="193"/>
  <c r="J640" i="193"/>
  <c r="I640" i="193"/>
  <c r="H640" i="193"/>
  <c r="G640" i="193"/>
  <c r="P639" i="193"/>
  <c r="O639" i="193"/>
  <c r="N639" i="193"/>
  <c r="M639" i="193"/>
  <c r="L639" i="193"/>
  <c r="K639" i="193"/>
  <c r="J639" i="193"/>
  <c r="I639" i="193"/>
  <c r="H639" i="193"/>
  <c r="G639" i="193"/>
  <c r="P638" i="193"/>
  <c r="O638" i="193"/>
  <c r="N638" i="193"/>
  <c r="M638" i="193"/>
  <c r="L638" i="193"/>
  <c r="K638" i="193"/>
  <c r="J638" i="193"/>
  <c r="I638" i="193"/>
  <c r="H638" i="193"/>
  <c r="G638" i="193"/>
  <c r="P637" i="193"/>
  <c r="O637" i="193"/>
  <c r="N637" i="193"/>
  <c r="M637" i="193"/>
  <c r="L637" i="193"/>
  <c r="K637" i="193"/>
  <c r="J637" i="193"/>
  <c r="I637" i="193"/>
  <c r="H637" i="193"/>
  <c r="G637" i="193"/>
  <c r="P636" i="193"/>
  <c r="O636" i="193"/>
  <c r="N636" i="193"/>
  <c r="M636" i="193"/>
  <c r="L636" i="193"/>
  <c r="K636" i="193"/>
  <c r="J636" i="193"/>
  <c r="I636" i="193"/>
  <c r="H636" i="193"/>
  <c r="G636" i="193"/>
  <c r="P635" i="193"/>
  <c r="O635" i="193"/>
  <c r="N635" i="193"/>
  <c r="M635" i="193"/>
  <c r="L635" i="193"/>
  <c r="K635" i="193"/>
  <c r="J635" i="193"/>
  <c r="I635" i="193"/>
  <c r="H635" i="193"/>
  <c r="G635" i="193"/>
  <c r="P634" i="193"/>
  <c r="O634" i="193"/>
  <c r="N634" i="193"/>
  <c r="M634" i="193"/>
  <c r="L634" i="193"/>
  <c r="K634" i="193"/>
  <c r="J634" i="193"/>
  <c r="I634" i="193"/>
  <c r="H634" i="193"/>
  <c r="G634" i="193"/>
  <c r="P633" i="193"/>
  <c r="O633" i="193"/>
  <c r="N633" i="193"/>
  <c r="M633" i="193"/>
  <c r="L633" i="193"/>
  <c r="K633" i="193"/>
  <c r="J633" i="193"/>
  <c r="I633" i="193"/>
  <c r="H633" i="193"/>
  <c r="G633" i="193"/>
  <c r="P632" i="193"/>
  <c r="O632" i="193"/>
  <c r="N632" i="193"/>
  <c r="M632" i="193"/>
  <c r="L632" i="193"/>
  <c r="K632" i="193"/>
  <c r="J632" i="193"/>
  <c r="I632" i="193"/>
  <c r="H632" i="193"/>
  <c r="G632" i="193"/>
  <c r="P631" i="193"/>
  <c r="O631" i="193"/>
  <c r="N631" i="193"/>
  <c r="M631" i="193"/>
  <c r="L631" i="193"/>
  <c r="K631" i="193"/>
  <c r="J631" i="193"/>
  <c r="I631" i="193"/>
  <c r="H631" i="193"/>
  <c r="G631" i="193"/>
  <c r="P630" i="193"/>
  <c r="O630" i="193"/>
  <c r="N630" i="193"/>
  <c r="M630" i="193"/>
  <c r="L630" i="193"/>
  <c r="K630" i="193"/>
  <c r="J630" i="193"/>
  <c r="I630" i="193"/>
  <c r="H630" i="193"/>
  <c r="G630" i="193"/>
  <c r="P629" i="193"/>
  <c r="O629" i="193"/>
  <c r="N629" i="193"/>
  <c r="M629" i="193"/>
  <c r="L629" i="193"/>
  <c r="K629" i="193"/>
  <c r="J629" i="193"/>
  <c r="I629" i="193"/>
  <c r="H629" i="193"/>
  <c r="G629" i="193"/>
  <c r="P628" i="193"/>
  <c r="O628" i="193"/>
  <c r="N628" i="193"/>
  <c r="M628" i="193"/>
  <c r="L628" i="193"/>
  <c r="K628" i="193"/>
  <c r="J628" i="193"/>
  <c r="I628" i="193"/>
  <c r="H628" i="193"/>
  <c r="G628" i="193"/>
  <c r="P627" i="193"/>
  <c r="O627" i="193"/>
  <c r="N627" i="193"/>
  <c r="M627" i="193"/>
  <c r="L627" i="193"/>
  <c r="K627" i="193"/>
  <c r="J627" i="193"/>
  <c r="I627" i="193"/>
  <c r="H627" i="193"/>
  <c r="G627" i="193"/>
  <c r="P626" i="193"/>
  <c r="O626" i="193"/>
  <c r="N626" i="193"/>
  <c r="M626" i="193"/>
  <c r="L626" i="193"/>
  <c r="K626" i="193"/>
  <c r="J626" i="193"/>
  <c r="I626" i="193"/>
  <c r="H626" i="193"/>
  <c r="G626" i="193"/>
  <c r="P625" i="193"/>
  <c r="O625" i="193"/>
  <c r="N625" i="193"/>
  <c r="M625" i="193"/>
  <c r="L625" i="193"/>
  <c r="K625" i="193"/>
  <c r="J625" i="193"/>
  <c r="I625" i="193"/>
  <c r="H625" i="193"/>
  <c r="G625" i="193"/>
  <c r="P624" i="193"/>
  <c r="O624" i="193"/>
  <c r="N624" i="193"/>
  <c r="M624" i="193"/>
  <c r="L624" i="193"/>
  <c r="K624" i="193"/>
  <c r="J624" i="193"/>
  <c r="I624" i="193"/>
  <c r="H624" i="193"/>
  <c r="G624" i="193"/>
  <c r="P623" i="193"/>
  <c r="O623" i="193"/>
  <c r="N623" i="193"/>
  <c r="M623" i="193"/>
  <c r="L623" i="193"/>
  <c r="K623" i="193"/>
  <c r="J623" i="193"/>
  <c r="I623" i="193"/>
  <c r="H623" i="193"/>
  <c r="G623" i="193"/>
  <c r="P622" i="193"/>
  <c r="O622" i="193"/>
  <c r="N622" i="193"/>
  <c r="M622" i="193"/>
  <c r="L622" i="193"/>
  <c r="K622" i="193"/>
  <c r="J622" i="193"/>
  <c r="I622" i="193"/>
  <c r="H622" i="193"/>
  <c r="G622" i="193"/>
  <c r="P621" i="193"/>
  <c r="O621" i="193"/>
  <c r="N621" i="193"/>
  <c r="M621" i="193"/>
  <c r="L621" i="193"/>
  <c r="K621" i="193"/>
  <c r="J621" i="193"/>
  <c r="I621" i="193"/>
  <c r="H621" i="193"/>
  <c r="G621" i="193"/>
  <c r="P620" i="193"/>
  <c r="O620" i="193"/>
  <c r="N620" i="193"/>
  <c r="M620" i="193"/>
  <c r="L620" i="193"/>
  <c r="K620" i="193"/>
  <c r="J620" i="193"/>
  <c r="I620" i="193"/>
  <c r="H620" i="193"/>
  <c r="G620" i="193"/>
  <c r="P619" i="193"/>
  <c r="O619" i="193"/>
  <c r="N619" i="193"/>
  <c r="M619" i="193"/>
  <c r="L619" i="193"/>
  <c r="K619" i="193"/>
  <c r="J619" i="193"/>
  <c r="I619" i="193"/>
  <c r="H619" i="193"/>
  <c r="G619" i="193"/>
  <c r="P618" i="193"/>
  <c r="O618" i="193"/>
  <c r="N618" i="193"/>
  <c r="M618" i="193"/>
  <c r="L618" i="193"/>
  <c r="K618" i="193"/>
  <c r="J618" i="193"/>
  <c r="I618" i="193"/>
  <c r="H618" i="193"/>
  <c r="G618" i="193"/>
  <c r="P617" i="193"/>
  <c r="O617" i="193"/>
  <c r="N617" i="193"/>
  <c r="M617" i="193"/>
  <c r="L617" i="193"/>
  <c r="K617" i="193"/>
  <c r="J617" i="193"/>
  <c r="I617" i="193"/>
  <c r="H617" i="193"/>
  <c r="G617" i="193"/>
  <c r="P616" i="193"/>
  <c r="O616" i="193"/>
  <c r="N616" i="193"/>
  <c r="M616" i="193"/>
  <c r="L616" i="193"/>
  <c r="K616" i="193"/>
  <c r="J616" i="193"/>
  <c r="I616" i="193"/>
  <c r="H616" i="193"/>
  <c r="G616" i="193"/>
  <c r="P615" i="193"/>
  <c r="O615" i="193"/>
  <c r="N615" i="193"/>
  <c r="M615" i="193"/>
  <c r="L615" i="193"/>
  <c r="K615" i="193"/>
  <c r="J615" i="193"/>
  <c r="I615" i="193"/>
  <c r="H615" i="193"/>
  <c r="G615" i="193"/>
  <c r="P614" i="193"/>
  <c r="O614" i="193"/>
  <c r="N614" i="193"/>
  <c r="M614" i="193"/>
  <c r="L614" i="193"/>
  <c r="K614" i="193"/>
  <c r="J614" i="193"/>
  <c r="I614" i="193"/>
  <c r="H614" i="193"/>
  <c r="G614" i="193"/>
  <c r="P613" i="193"/>
  <c r="O613" i="193"/>
  <c r="N613" i="193"/>
  <c r="M613" i="193"/>
  <c r="L613" i="193"/>
  <c r="K613" i="193"/>
  <c r="J613" i="193"/>
  <c r="I613" i="193"/>
  <c r="H613" i="193"/>
  <c r="G613" i="193"/>
  <c r="P612" i="193"/>
  <c r="O612" i="193"/>
  <c r="N612" i="193"/>
  <c r="M612" i="193"/>
  <c r="L612" i="193"/>
  <c r="K612" i="193"/>
  <c r="J612" i="193"/>
  <c r="I612" i="193"/>
  <c r="H612" i="193"/>
  <c r="G612" i="193"/>
  <c r="P611" i="193"/>
  <c r="O611" i="193"/>
  <c r="N611" i="193"/>
  <c r="M611" i="193"/>
  <c r="L611" i="193"/>
  <c r="K611" i="193"/>
  <c r="J611" i="193"/>
  <c r="I611" i="193"/>
  <c r="H611" i="193"/>
  <c r="G611" i="193"/>
  <c r="P610" i="193"/>
  <c r="O610" i="193"/>
  <c r="N610" i="193"/>
  <c r="M610" i="193"/>
  <c r="L610" i="193"/>
  <c r="K610" i="193"/>
  <c r="J610" i="193"/>
  <c r="I610" i="193"/>
  <c r="Q610" i="193" s="1"/>
  <c r="H610" i="193"/>
  <c r="G610" i="193"/>
  <c r="P609" i="193"/>
  <c r="O609" i="193"/>
  <c r="N609" i="193"/>
  <c r="M609" i="193"/>
  <c r="L609" i="193"/>
  <c r="K609" i="193"/>
  <c r="J609" i="193"/>
  <c r="I609" i="193"/>
  <c r="H609" i="193"/>
  <c r="G609" i="193"/>
  <c r="P608" i="193"/>
  <c r="O608" i="193"/>
  <c r="N608" i="193"/>
  <c r="M608" i="193"/>
  <c r="L608" i="193"/>
  <c r="K608" i="193"/>
  <c r="J608" i="193"/>
  <c r="I608" i="193"/>
  <c r="H608" i="193"/>
  <c r="G608" i="193"/>
  <c r="P607" i="193"/>
  <c r="O607" i="193"/>
  <c r="N607" i="193"/>
  <c r="M607" i="193"/>
  <c r="L607" i="193"/>
  <c r="K607" i="193"/>
  <c r="J607" i="193"/>
  <c r="I607" i="193"/>
  <c r="H607" i="193"/>
  <c r="G607" i="193"/>
  <c r="P606" i="193"/>
  <c r="O606" i="193"/>
  <c r="N606" i="193"/>
  <c r="M606" i="193"/>
  <c r="L606" i="193"/>
  <c r="K606" i="193"/>
  <c r="J606" i="193"/>
  <c r="I606" i="193"/>
  <c r="Q606" i="193" s="1"/>
  <c r="H606" i="193"/>
  <c r="G606" i="193"/>
  <c r="P605" i="193"/>
  <c r="O605" i="193"/>
  <c r="N605" i="193"/>
  <c r="M605" i="193"/>
  <c r="L605" i="193"/>
  <c r="K605" i="193"/>
  <c r="J605" i="193"/>
  <c r="I605" i="193"/>
  <c r="H605" i="193"/>
  <c r="G605" i="193"/>
  <c r="P604" i="193"/>
  <c r="O604" i="193"/>
  <c r="N604" i="193"/>
  <c r="M604" i="193"/>
  <c r="L604" i="193"/>
  <c r="K604" i="193"/>
  <c r="J604" i="193"/>
  <c r="I604" i="193"/>
  <c r="H604" i="193"/>
  <c r="G604" i="193"/>
  <c r="P603" i="193"/>
  <c r="O603" i="193"/>
  <c r="N603" i="193"/>
  <c r="M603" i="193"/>
  <c r="L603" i="193"/>
  <c r="K603" i="193"/>
  <c r="J603" i="193"/>
  <c r="I603" i="193"/>
  <c r="H603" i="193"/>
  <c r="G603" i="193"/>
  <c r="P602" i="193"/>
  <c r="O602" i="193"/>
  <c r="N602" i="193"/>
  <c r="M602" i="193"/>
  <c r="L602" i="193"/>
  <c r="K602" i="193"/>
  <c r="J602" i="193"/>
  <c r="I602" i="193"/>
  <c r="H602" i="193"/>
  <c r="G602" i="193"/>
  <c r="P601" i="193"/>
  <c r="O601" i="193"/>
  <c r="N601" i="193"/>
  <c r="M601" i="193"/>
  <c r="L601" i="193"/>
  <c r="K601" i="193"/>
  <c r="J601" i="193"/>
  <c r="I601" i="193"/>
  <c r="H601" i="193"/>
  <c r="G601" i="193"/>
  <c r="P600" i="193"/>
  <c r="O600" i="193"/>
  <c r="N600" i="193"/>
  <c r="M600" i="193"/>
  <c r="L600" i="193"/>
  <c r="K600" i="193"/>
  <c r="J600" i="193"/>
  <c r="I600" i="193"/>
  <c r="H600" i="193"/>
  <c r="G600" i="193"/>
  <c r="P599" i="193"/>
  <c r="O599" i="193"/>
  <c r="N599" i="193"/>
  <c r="M599" i="193"/>
  <c r="L599" i="193"/>
  <c r="K599" i="193"/>
  <c r="J599" i="193"/>
  <c r="I599" i="193"/>
  <c r="H599" i="193"/>
  <c r="G599" i="193"/>
  <c r="P598" i="193"/>
  <c r="O598" i="193"/>
  <c r="N598" i="193"/>
  <c r="M598" i="193"/>
  <c r="L598" i="193"/>
  <c r="K598" i="193"/>
  <c r="J598" i="193"/>
  <c r="I598" i="193"/>
  <c r="Q598" i="193" s="1"/>
  <c r="H598" i="193"/>
  <c r="G598" i="193"/>
  <c r="P597" i="193"/>
  <c r="O597" i="193"/>
  <c r="N597" i="193"/>
  <c r="M597" i="193"/>
  <c r="L597" i="193"/>
  <c r="K597" i="193"/>
  <c r="J597" i="193"/>
  <c r="I597" i="193"/>
  <c r="H597" i="193"/>
  <c r="G597" i="193"/>
  <c r="P596" i="193"/>
  <c r="O596" i="193"/>
  <c r="N596" i="193"/>
  <c r="M596" i="193"/>
  <c r="L596" i="193"/>
  <c r="K596" i="193"/>
  <c r="J596" i="193"/>
  <c r="I596" i="193"/>
  <c r="H596" i="193"/>
  <c r="G596" i="193"/>
  <c r="P595" i="193"/>
  <c r="O595" i="193"/>
  <c r="N595" i="193"/>
  <c r="M595" i="193"/>
  <c r="L595" i="193"/>
  <c r="K595" i="193"/>
  <c r="J595" i="193"/>
  <c r="I595" i="193"/>
  <c r="H595" i="193"/>
  <c r="G595" i="193"/>
  <c r="P594" i="193"/>
  <c r="O594" i="193"/>
  <c r="N594" i="193"/>
  <c r="M594" i="193"/>
  <c r="L594" i="193"/>
  <c r="K594" i="193"/>
  <c r="J594" i="193"/>
  <c r="I594" i="193"/>
  <c r="Q594" i="193" s="1"/>
  <c r="H594" i="193"/>
  <c r="G594" i="193"/>
  <c r="P593" i="193"/>
  <c r="O593" i="193"/>
  <c r="N593" i="193"/>
  <c r="M593" i="193"/>
  <c r="L593" i="193"/>
  <c r="K593" i="193"/>
  <c r="J593" i="193"/>
  <c r="I593" i="193"/>
  <c r="H593" i="193"/>
  <c r="G593" i="193"/>
  <c r="P592" i="193"/>
  <c r="O592" i="193"/>
  <c r="N592" i="193"/>
  <c r="M592" i="193"/>
  <c r="L592" i="193"/>
  <c r="K592" i="193"/>
  <c r="J592" i="193"/>
  <c r="I592" i="193"/>
  <c r="H592" i="193"/>
  <c r="G592" i="193"/>
  <c r="P591" i="193"/>
  <c r="O591" i="193"/>
  <c r="N591" i="193"/>
  <c r="M591" i="193"/>
  <c r="L591" i="193"/>
  <c r="K591" i="193"/>
  <c r="J591" i="193"/>
  <c r="I591" i="193"/>
  <c r="H591" i="193"/>
  <c r="G591" i="193"/>
  <c r="P590" i="193"/>
  <c r="O590" i="193"/>
  <c r="N590" i="193"/>
  <c r="M590" i="193"/>
  <c r="L590" i="193"/>
  <c r="K590" i="193"/>
  <c r="J590" i="193"/>
  <c r="I590" i="193"/>
  <c r="H590" i="193"/>
  <c r="G590" i="193"/>
  <c r="P589" i="193"/>
  <c r="O589" i="193"/>
  <c r="N589" i="193"/>
  <c r="M589" i="193"/>
  <c r="L589" i="193"/>
  <c r="K589" i="193"/>
  <c r="J589" i="193"/>
  <c r="I589" i="193"/>
  <c r="H589" i="193"/>
  <c r="G589" i="193"/>
  <c r="P588" i="193"/>
  <c r="O588" i="193"/>
  <c r="N588" i="193"/>
  <c r="M588" i="193"/>
  <c r="L588" i="193"/>
  <c r="K588" i="193"/>
  <c r="J588" i="193"/>
  <c r="I588" i="193"/>
  <c r="H588" i="193"/>
  <c r="G588" i="193"/>
  <c r="P587" i="193"/>
  <c r="O587" i="193"/>
  <c r="N587" i="193"/>
  <c r="M587" i="193"/>
  <c r="L587" i="193"/>
  <c r="K587" i="193"/>
  <c r="J587" i="193"/>
  <c r="I587" i="193"/>
  <c r="H587" i="193"/>
  <c r="G587" i="193"/>
  <c r="Q587" i="193" s="1"/>
  <c r="P586" i="193"/>
  <c r="O586" i="193"/>
  <c r="N586" i="193"/>
  <c r="M586" i="193"/>
  <c r="L586" i="193"/>
  <c r="K586" i="193"/>
  <c r="J586" i="193"/>
  <c r="I586" i="193"/>
  <c r="H586" i="193"/>
  <c r="G586" i="193"/>
  <c r="P585" i="193"/>
  <c r="O585" i="193"/>
  <c r="N585" i="193"/>
  <c r="M585" i="193"/>
  <c r="L585" i="193"/>
  <c r="K585" i="193"/>
  <c r="J585" i="193"/>
  <c r="I585" i="193"/>
  <c r="H585" i="193"/>
  <c r="G585" i="193"/>
  <c r="P584" i="193"/>
  <c r="O584" i="193"/>
  <c r="N584" i="193"/>
  <c r="M584" i="193"/>
  <c r="L584" i="193"/>
  <c r="K584" i="193"/>
  <c r="J584" i="193"/>
  <c r="I584" i="193"/>
  <c r="Q584" i="193" s="1"/>
  <c r="H584" i="193"/>
  <c r="G584" i="193"/>
  <c r="P583" i="193"/>
  <c r="O583" i="193"/>
  <c r="N583" i="193"/>
  <c r="M583" i="193"/>
  <c r="L583" i="193"/>
  <c r="K583" i="193"/>
  <c r="J583" i="193"/>
  <c r="I583" i="193"/>
  <c r="H583" i="193"/>
  <c r="G583" i="193"/>
  <c r="P582" i="193"/>
  <c r="O582" i="193"/>
  <c r="N582" i="193"/>
  <c r="M582" i="193"/>
  <c r="L582" i="193"/>
  <c r="K582" i="193"/>
  <c r="J582" i="193"/>
  <c r="I582" i="193"/>
  <c r="H582" i="193"/>
  <c r="G582" i="193"/>
  <c r="P578" i="193"/>
  <c r="O578" i="193"/>
  <c r="N578" i="193"/>
  <c r="M578" i="193"/>
  <c r="L578" i="193"/>
  <c r="K578" i="193"/>
  <c r="J578" i="193"/>
  <c r="I578" i="193"/>
  <c r="H578" i="193"/>
  <c r="G578" i="193"/>
  <c r="P577" i="193"/>
  <c r="O577" i="193"/>
  <c r="N577" i="193"/>
  <c r="M577" i="193"/>
  <c r="L577" i="193"/>
  <c r="K577" i="193"/>
  <c r="J577" i="193"/>
  <c r="I577" i="193"/>
  <c r="H577" i="193"/>
  <c r="G577" i="193"/>
  <c r="P576" i="193"/>
  <c r="O576" i="193"/>
  <c r="N576" i="193"/>
  <c r="M576" i="193"/>
  <c r="L576" i="193"/>
  <c r="K576" i="193"/>
  <c r="J576" i="193"/>
  <c r="I576" i="193"/>
  <c r="H576" i="193"/>
  <c r="G576" i="193"/>
  <c r="P575" i="193"/>
  <c r="O575" i="193"/>
  <c r="N575" i="193"/>
  <c r="M575" i="193"/>
  <c r="L575" i="193"/>
  <c r="K575" i="193"/>
  <c r="J575" i="193"/>
  <c r="I575" i="193"/>
  <c r="Q575" i="193" s="1"/>
  <c r="H575" i="193"/>
  <c r="G575" i="193"/>
  <c r="P574" i="193"/>
  <c r="O574" i="193"/>
  <c r="N574" i="193"/>
  <c r="M574" i="193"/>
  <c r="L574" i="193"/>
  <c r="K574" i="193"/>
  <c r="J574" i="193"/>
  <c r="I574" i="193"/>
  <c r="H574" i="193"/>
  <c r="G574" i="193"/>
  <c r="P573" i="193"/>
  <c r="O573" i="193"/>
  <c r="N573" i="193"/>
  <c r="M573" i="193"/>
  <c r="L573" i="193"/>
  <c r="K573" i="193"/>
  <c r="J573" i="193"/>
  <c r="I573" i="193"/>
  <c r="H573" i="193"/>
  <c r="G573" i="193"/>
  <c r="P572" i="193"/>
  <c r="O572" i="193"/>
  <c r="N572" i="193"/>
  <c r="M572" i="193"/>
  <c r="L572" i="193"/>
  <c r="K572" i="193"/>
  <c r="J572" i="193"/>
  <c r="I572" i="193"/>
  <c r="H572" i="193"/>
  <c r="G572" i="193"/>
  <c r="P571" i="193"/>
  <c r="O571" i="193"/>
  <c r="N571" i="193"/>
  <c r="M571" i="193"/>
  <c r="L571" i="193"/>
  <c r="K571" i="193"/>
  <c r="J571" i="193"/>
  <c r="I571" i="193"/>
  <c r="H571" i="193"/>
  <c r="G571" i="193"/>
  <c r="P570" i="193"/>
  <c r="O570" i="193"/>
  <c r="N570" i="193"/>
  <c r="M570" i="193"/>
  <c r="L570" i="193"/>
  <c r="K570" i="193"/>
  <c r="J570" i="193"/>
  <c r="I570" i="193"/>
  <c r="H570" i="193"/>
  <c r="G570" i="193"/>
  <c r="P569" i="193"/>
  <c r="O569" i="193"/>
  <c r="N569" i="193"/>
  <c r="M569" i="193"/>
  <c r="L569" i="193"/>
  <c r="K569" i="193"/>
  <c r="J569" i="193"/>
  <c r="I569" i="193"/>
  <c r="Q569" i="193" s="1"/>
  <c r="H569" i="193"/>
  <c r="G569" i="193"/>
  <c r="P568" i="193"/>
  <c r="O568" i="193"/>
  <c r="N568" i="193"/>
  <c r="M568" i="193"/>
  <c r="L568" i="193"/>
  <c r="K568" i="193"/>
  <c r="J568" i="193"/>
  <c r="I568" i="193"/>
  <c r="H568" i="193"/>
  <c r="G568" i="193"/>
  <c r="Q568" i="193" s="1"/>
  <c r="P566" i="193"/>
  <c r="O566" i="193"/>
  <c r="N566" i="193"/>
  <c r="M566" i="193"/>
  <c r="L566" i="193"/>
  <c r="K566" i="193"/>
  <c r="J566" i="193"/>
  <c r="I566" i="193"/>
  <c r="H566" i="193"/>
  <c r="G566" i="193"/>
  <c r="P565" i="193"/>
  <c r="O565" i="193"/>
  <c r="N565" i="193"/>
  <c r="M565" i="193"/>
  <c r="L565" i="193"/>
  <c r="K565" i="193"/>
  <c r="J565" i="193"/>
  <c r="I565" i="193"/>
  <c r="H565" i="193"/>
  <c r="G565" i="193"/>
  <c r="P564" i="193"/>
  <c r="O564" i="193"/>
  <c r="N564" i="193"/>
  <c r="M564" i="193"/>
  <c r="L564" i="193"/>
  <c r="K564" i="193"/>
  <c r="J564" i="193"/>
  <c r="I564" i="193"/>
  <c r="H564" i="193"/>
  <c r="G564" i="193"/>
  <c r="P563" i="193"/>
  <c r="O563" i="193"/>
  <c r="N563" i="193"/>
  <c r="M563" i="193"/>
  <c r="L563" i="193"/>
  <c r="K563" i="193"/>
  <c r="J563" i="193"/>
  <c r="I563" i="193"/>
  <c r="H563" i="193"/>
  <c r="G563" i="193"/>
  <c r="P562" i="193"/>
  <c r="O562" i="193"/>
  <c r="N562" i="193"/>
  <c r="M562" i="193"/>
  <c r="L562" i="193"/>
  <c r="K562" i="193"/>
  <c r="J562" i="193"/>
  <c r="I562" i="193"/>
  <c r="H562" i="193"/>
  <c r="G562" i="193"/>
  <c r="P561" i="193"/>
  <c r="O561" i="193"/>
  <c r="N561" i="193"/>
  <c r="M561" i="193"/>
  <c r="L561" i="193"/>
  <c r="K561" i="193"/>
  <c r="J561" i="193"/>
  <c r="I561" i="193"/>
  <c r="H561" i="193"/>
  <c r="G561" i="193"/>
  <c r="P560" i="193"/>
  <c r="O560" i="193"/>
  <c r="N560" i="193"/>
  <c r="M560" i="193"/>
  <c r="L560" i="193"/>
  <c r="K560" i="193"/>
  <c r="J560" i="193"/>
  <c r="I560" i="193"/>
  <c r="Q560" i="193" s="1"/>
  <c r="H560" i="193"/>
  <c r="G560" i="193"/>
  <c r="P559" i="193"/>
  <c r="O559" i="193"/>
  <c r="N559" i="193"/>
  <c r="M559" i="193"/>
  <c r="L559" i="193"/>
  <c r="K559" i="193"/>
  <c r="J559" i="193"/>
  <c r="I559" i="193"/>
  <c r="H559" i="193"/>
  <c r="G559" i="193"/>
  <c r="Q559" i="193" s="1"/>
  <c r="P558" i="193"/>
  <c r="O558" i="193"/>
  <c r="N558" i="193"/>
  <c r="M558" i="193"/>
  <c r="L558" i="193"/>
  <c r="K558" i="193"/>
  <c r="J558" i="193"/>
  <c r="I558" i="193"/>
  <c r="Q558" i="193" s="1"/>
  <c r="H558" i="193"/>
  <c r="G558" i="193"/>
  <c r="P555" i="193"/>
  <c r="O555" i="193"/>
  <c r="N555" i="193"/>
  <c r="M555" i="193"/>
  <c r="L555" i="193"/>
  <c r="K555" i="193"/>
  <c r="J555" i="193"/>
  <c r="I555" i="193"/>
  <c r="H555" i="193"/>
  <c r="G555" i="193"/>
  <c r="P552" i="193"/>
  <c r="O552" i="193"/>
  <c r="N552" i="193"/>
  <c r="M552" i="193"/>
  <c r="L552" i="193"/>
  <c r="K552" i="193"/>
  <c r="J552" i="193"/>
  <c r="I552" i="193"/>
  <c r="H552" i="193"/>
  <c r="G552" i="193"/>
  <c r="P551" i="193"/>
  <c r="O551" i="193"/>
  <c r="N551" i="193"/>
  <c r="M551" i="193"/>
  <c r="L551" i="193"/>
  <c r="K551" i="193"/>
  <c r="J551" i="193"/>
  <c r="I551" i="193"/>
  <c r="H551" i="193"/>
  <c r="G551" i="193"/>
  <c r="P550" i="193"/>
  <c r="O550" i="193"/>
  <c r="N550" i="193"/>
  <c r="M550" i="193"/>
  <c r="L550" i="193"/>
  <c r="K550" i="193"/>
  <c r="J550" i="193"/>
  <c r="I550" i="193"/>
  <c r="Q550" i="193" s="1"/>
  <c r="H550" i="193"/>
  <c r="G550" i="193"/>
  <c r="P547" i="193"/>
  <c r="O547" i="193"/>
  <c r="N547" i="193"/>
  <c r="M547" i="193"/>
  <c r="L547" i="193"/>
  <c r="K547" i="193"/>
  <c r="J547" i="193"/>
  <c r="I547" i="193"/>
  <c r="H547" i="193"/>
  <c r="G547" i="193"/>
  <c r="P546" i="193"/>
  <c r="O546" i="193"/>
  <c r="N546" i="193"/>
  <c r="M546" i="193"/>
  <c r="L546" i="193"/>
  <c r="K546" i="193"/>
  <c r="J546" i="193"/>
  <c r="I546" i="193"/>
  <c r="Q546" i="193" s="1"/>
  <c r="H546" i="193"/>
  <c r="G546" i="193"/>
  <c r="P544" i="193"/>
  <c r="O544" i="193"/>
  <c r="N544" i="193"/>
  <c r="M544" i="193"/>
  <c r="L544" i="193"/>
  <c r="K544" i="193"/>
  <c r="J544" i="193"/>
  <c r="I544" i="193"/>
  <c r="H544" i="193"/>
  <c r="G544" i="193"/>
  <c r="Q544" i="193" s="1"/>
  <c r="P542" i="193"/>
  <c r="O542" i="193"/>
  <c r="N542" i="193"/>
  <c r="M542" i="193"/>
  <c r="L542" i="193"/>
  <c r="K542" i="193"/>
  <c r="J542" i="193"/>
  <c r="I542" i="193"/>
  <c r="H542" i="193"/>
  <c r="G542" i="193"/>
  <c r="P541" i="193"/>
  <c r="O541" i="193"/>
  <c r="N541" i="193"/>
  <c r="M541" i="193"/>
  <c r="L541" i="193"/>
  <c r="K541" i="193"/>
  <c r="J541" i="193"/>
  <c r="I541" i="193"/>
  <c r="H541" i="193"/>
  <c r="G541" i="193"/>
  <c r="P540" i="193"/>
  <c r="O540" i="193"/>
  <c r="N540" i="193"/>
  <c r="M540" i="193"/>
  <c r="L540" i="193"/>
  <c r="K540" i="193"/>
  <c r="J540" i="193"/>
  <c r="I540" i="193"/>
  <c r="H540" i="193"/>
  <c r="G540" i="193"/>
  <c r="P539" i="193"/>
  <c r="O539" i="193"/>
  <c r="N539" i="193"/>
  <c r="M539" i="193"/>
  <c r="L539" i="193"/>
  <c r="K539" i="193"/>
  <c r="J539" i="193"/>
  <c r="I539" i="193"/>
  <c r="H539" i="193"/>
  <c r="G539" i="193"/>
  <c r="P538" i="193"/>
  <c r="O538" i="193"/>
  <c r="N538" i="193"/>
  <c r="M538" i="193"/>
  <c r="L538" i="193"/>
  <c r="K538" i="193"/>
  <c r="J538" i="193"/>
  <c r="I538" i="193"/>
  <c r="Q538" i="193" s="1"/>
  <c r="H538" i="193"/>
  <c r="G538" i="193"/>
  <c r="P536" i="193"/>
  <c r="O536" i="193"/>
  <c r="N536" i="193"/>
  <c r="M536" i="193"/>
  <c r="L536" i="193"/>
  <c r="K536" i="193"/>
  <c r="J536" i="193"/>
  <c r="I536" i="193"/>
  <c r="H536" i="193"/>
  <c r="G536" i="193"/>
  <c r="P535" i="193"/>
  <c r="O535" i="193"/>
  <c r="N535" i="193"/>
  <c r="M535" i="193"/>
  <c r="L535" i="193"/>
  <c r="K535" i="193"/>
  <c r="J535" i="193"/>
  <c r="I535" i="193"/>
  <c r="H535" i="193"/>
  <c r="G535" i="193"/>
  <c r="P534" i="193"/>
  <c r="O534" i="193"/>
  <c r="N534" i="193"/>
  <c r="M534" i="193"/>
  <c r="L534" i="193"/>
  <c r="K534" i="193"/>
  <c r="J534" i="193"/>
  <c r="I534" i="193"/>
  <c r="H534" i="193"/>
  <c r="G534" i="193"/>
  <c r="P533" i="193"/>
  <c r="O533" i="193"/>
  <c r="N533" i="193"/>
  <c r="M533" i="193"/>
  <c r="L533" i="193"/>
  <c r="K533" i="193"/>
  <c r="J533" i="193"/>
  <c r="I533" i="193"/>
  <c r="Q533" i="193" s="1"/>
  <c r="H533" i="193"/>
  <c r="G533" i="193"/>
  <c r="P532" i="193"/>
  <c r="O532" i="193"/>
  <c r="N532" i="193"/>
  <c r="M532" i="193"/>
  <c r="L532" i="193"/>
  <c r="K532" i="193"/>
  <c r="J532" i="193"/>
  <c r="I532" i="193"/>
  <c r="H532" i="193"/>
  <c r="G532" i="193"/>
  <c r="P531" i="193"/>
  <c r="O531" i="193"/>
  <c r="N531" i="193"/>
  <c r="M531" i="193"/>
  <c r="L531" i="193"/>
  <c r="K531" i="193"/>
  <c r="J531" i="193"/>
  <c r="I531" i="193"/>
  <c r="H531" i="193"/>
  <c r="G531" i="193"/>
  <c r="P530" i="193"/>
  <c r="O530" i="193"/>
  <c r="N530" i="193"/>
  <c r="M530" i="193"/>
  <c r="L530" i="193"/>
  <c r="K530" i="193"/>
  <c r="J530" i="193"/>
  <c r="I530" i="193"/>
  <c r="H530" i="193"/>
  <c r="G530" i="193"/>
  <c r="P529" i="193"/>
  <c r="O529" i="193"/>
  <c r="N529" i="193"/>
  <c r="M529" i="193"/>
  <c r="L529" i="193"/>
  <c r="K529" i="193"/>
  <c r="J529" i="193"/>
  <c r="I529" i="193"/>
  <c r="Q529" i="193" s="1"/>
  <c r="H529" i="193"/>
  <c r="G529" i="193"/>
  <c r="P528" i="193"/>
  <c r="O528" i="193"/>
  <c r="N528" i="193"/>
  <c r="M528" i="193"/>
  <c r="L528" i="193"/>
  <c r="K528" i="193"/>
  <c r="J528" i="193"/>
  <c r="I528" i="193"/>
  <c r="H528" i="193"/>
  <c r="G528" i="193"/>
  <c r="P527" i="193"/>
  <c r="O527" i="193"/>
  <c r="N527" i="193"/>
  <c r="M527" i="193"/>
  <c r="L527" i="193"/>
  <c r="K527" i="193"/>
  <c r="J527" i="193"/>
  <c r="I527" i="193"/>
  <c r="H527" i="193"/>
  <c r="G527" i="193"/>
  <c r="P526" i="193"/>
  <c r="O526" i="193"/>
  <c r="N526" i="193"/>
  <c r="M526" i="193"/>
  <c r="L526" i="193"/>
  <c r="K526" i="193"/>
  <c r="J526" i="193"/>
  <c r="I526" i="193"/>
  <c r="H526" i="193"/>
  <c r="G526" i="193"/>
  <c r="P525" i="193"/>
  <c r="O525" i="193"/>
  <c r="N525" i="193"/>
  <c r="M525" i="193"/>
  <c r="L525" i="193"/>
  <c r="K525" i="193"/>
  <c r="J525" i="193"/>
  <c r="I525" i="193"/>
  <c r="H525" i="193"/>
  <c r="G525" i="193"/>
  <c r="P524" i="193"/>
  <c r="O524" i="193"/>
  <c r="N524" i="193"/>
  <c r="M524" i="193"/>
  <c r="L524" i="193"/>
  <c r="K524" i="193"/>
  <c r="J524" i="193"/>
  <c r="I524" i="193"/>
  <c r="H524" i="193"/>
  <c r="G524" i="193"/>
  <c r="P523" i="193"/>
  <c r="O523" i="193"/>
  <c r="N523" i="193"/>
  <c r="M523" i="193"/>
  <c r="L523" i="193"/>
  <c r="K523" i="193"/>
  <c r="J523" i="193"/>
  <c r="I523" i="193"/>
  <c r="H523" i="193"/>
  <c r="G523" i="193"/>
  <c r="P522" i="193"/>
  <c r="O522" i="193"/>
  <c r="N522" i="193"/>
  <c r="M522" i="193"/>
  <c r="L522" i="193"/>
  <c r="K522" i="193"/>
  <c r="J522" i="193"/>
  <c r="I522" i="193"/>
  <c r="H522" i="193"/>
  <c r="G522" i="193"/>
  <c r="P521" i="193"/>
  <c r="O521" i="193"/>
  <c r="N521" i="193"/>
  <c r="M521" i="193"/>
  <c r="L521" i="193"/>
  <c r="K521" i="193"/>
  <c r="J521" i="193"/>
  <c r="I521" i="193"/>
  <c r="Q521" i="193" s="1"/>
  <c r="H521" i="193"/>
  <c r="G521" i="193"/>
  <c r="P520" i="193"/>
  <c r="O520" i="193"/>
  <c r="N520" i="193"/>
  <c r="M520" i="193"/>
  <c r="L520" i="193"/>
  <c r="K520" i="193"/>
  <c r="J520" i="193"/>
  <c r="I520" i="193"/>
  <c r="H520" i="193"/>
  <c r="G520" i="193"/>
  <c r="P519" i="193"/>
  <c r="O519" i="193"/>
  <c r="N519" i="193"/>
  <c r="M519" i="193"/>
  <c r="L519" i="193"/>
  <c r="K519" i="193"/>
  <c r="J519" i="193"/>
  <c r="I519" i="193"/>
  <c r="H519" i="193"/>
  <c r="G519" i="193"/>
  <c r="P518" i="193"/>
  <c r="O518" i="193"/>
  <c r="N518" i="193"/>
  <c r="M518" i="193"/>
  <c r="L518" i="193"/>
  <c r="K518" i="193"/>
  <c r="J518" i="193"/>
  <c r="I518" i="193"/>
  <c r="H518" i="193"/>
  <c r="G518" i="193"/>
  <c r="P517" i="193"/>
  <c r="O517" i="193"/>
  <c r="N517" i="193"/>
  <c r="M517" i="193"/>
  <c r="L517" i="193"/>
  <c r="K517" i="193"/>
  <c r="J517" i="193"/>
  <c r="I517" i="193"/>
  <c r="Q517" i="193" s="1"/>
  <c r="H517" i="193"/>
  <c r="G517" i="193"/>
  <c r="P516" i="193"/>
  <c r="O516" i="193"/>
  <c r="N516" i="193"/>
  <c r="M516" i="193"/>
  <c r="L516" i="193"/>
  <c r="K516" i="193"/>
  <c r="J516" i="193"/>
  <c r="I516" i="193"/>
  <c r="H516" i="193"/>
  <c r="G516" i="193"/>
  <c r="P515" i="193"/>
  <c r="O515" i="193"/>
  <c r="N515" i="193"/>
  <c r="M515" i="193"/>
  <c r="L515" i="193"/>
  <c r="K515" i="193"/>
  <c r="J515" i="193"/>
  <c r="I515" i="193"/>
  <c r="H515" i="193"/>
  <c r="G515" i="193"/>
  <c r="P514" i="193"/>
  <c r="O514" i="193"/>
  <c r="N514" i="193"/>
  <c r="M514" i="193"/>
  <c r="L514" i="193"/>
  <c r="K514" i="193"/>
  <c r="J514" i="193"/>
  <c r="I514" i="193"/>
  <c r="H514" i="193"/>
  <c r="G514" i="193"/>
  <c r="P513" i="193"/>
  <c r="O513" i="193"/>
  <c r="N513" i="193"/>
  <c r="M513" i="193"/>
  <c r="L513" i="193"/>
  <c r="K513" i="193"/>
  <c r="J513" i="193"/>
  <c r="I513" i="193"/>
  <c r="H513" i="193"/>
  <c r="G513" i="193"/>
  <c r="P512" i="193"/>
  <c r="O512" i="193"/>
  <c r="N512" i="193"/>
  <c r="M512" i="193"/>
  <c r="L512" i="193"/>
  <c r="K512" i="193"/>
  <c r="J512" i="193"/>
  <c r="I512" i="193"/>
  <c r="H512" i="193"/>
  <c r="G512" i="193"/>
  <c r="P511" i="193"/>
  <c r="O511" i="193"/>
  <c r="N511" i="193"/>
  <c r="M511" i="193"/>
  <c r="L511" i="193"/>
  <c r="K511" i="193"/>
  <c r="J511" i="193"/>
  <c r="I511" i="193"/>
  <c r="H511" i="193"/>
  <c r="G511" i="193"/>
  <c r="P510" i="193"/>
  <c r="O510" i="193"/>
  <c r="N510" i="193"/>
  <c r="M510" i="193"/>
  <c r="L510" i="193"/>
  <c r="K510" i="193"/>
  <c r="J510" i="193"/>
  <c r="I510" i="193"/>
  <c r="H510" i="193"/>
  <c r="G510" i="193"/>
  <c r="Q510" i="193" s="1"/>
  <c r="P509" i="193"/>
  <c r="O509" i="193"/>
  <c r="N509" i="193"/>
  <c r="M509" i="193"/>
  <c r="L509" i="193"/>
  <c r="K509" i="193"/>
  <c r="J509" i="193"/>
  <c r="I509" i="193"/>
  <c r="H509" i="193"/>
  <c r="G509" i="193"/>
  <c r="P507" i="193"/>
  <c r="O507" i="193"/>
  <c r="N507" i="193"/>
  <c r="M507" i="193"/>
  <c r="L507" i="193"/>
  <c r="K507" i="193"/>
  <c r="J507" i="193"/>
  <c r="I507" i="193"/>
  <c r="H507" i="193"/>
  <c r="G507" i="193"/>
  <c r="P506" i="193"/>
  <c r="O506" i="193"/>
  <c r="N506" i="193"/>
  <c r="M506" i="193"/>
  <c r="L506" i="193"/>
  <c r="K506" i="193"/>
  <c r="J506" i="193"/>
  <c r="I506" i="193"/>
  <c r="Q506" i="193" s="1"/>
  <c r="H506" i="193"/>
  <c r="G506" i="193"/>
  <c r="P505" i="193"/>
  <c r="O505" i="193"/>
  <c r="N505" i="193"/>
  <c r="M505" i="193"/>
  <c r="L505" i="193"/>
  <c r="K505" i="193"/>
  <c r="J505" i="193"/>
  <c r="I505" i="193"/>
  <c r="H505" i="193"/>
  <c r="G505" i="193"/>
  <c r="Q505" i="193" s="1"/>
  <c r="P503" i="193"/>
  <c r="O503" i="193"/>
  <c r="N503" i="193"/>
  <c r="M503" i="193"/>
  <c r="L503" i="193"/>
  <c r="K503" i="193"/>
  <c r="J503" i="193"/>
  <c r="I503" i="193"/>
  <c r="H503" i="193"/>
  <c r="G503" i="193"/>
  <c r="P502" i="193"/>
  <c r="O502" i="193"/>
  <c r="N502" i="193"/>
  <c r="M502" i="193"/>
  <c r="L502" i="193"/>
  <c r="K502" i="193"/>
  <c r="J502" i="193"/>
  <c r="I502" i="193"/>
  <c r="H502" i="193"/>
  <c r="G502" i="193"/>
  <c r="P500" i="193"/>
  <c r="O500" i="193"/>
  <c r="N500" i="193"/>
  <c r="M500" i="193"/>
  <c r="L500" i="193"/>
  <c r="K500" i="193"/>
  <c r="J500" i="193"/>
  <c r="I500" i="193"/>
  <c r="H500" i="193"/>
  <c r="G500" i="193"/>
  <c r="P498" i="193"/>
  <c r="O498" i="193"/>
  <c r="N498" i="193"/>
  <c r="M498" i="193"/>
  <c r="L498" i="193"/>
  <c r="K498" i="193"/>
  <c r="J498" i="193"/>
  <c r="I498" i="193"/>
  <c r="H498" i="193"/>
  <c r="G498" i="193"/>
  <c r="P497" i="193"/>
  <c r="O497" i="193"/>
  <c r="N497" i="193"/>
  <c r="M497" i="193"/>
  <c r="L497" i="193"/>
  <c r="K497" i="193"/>
  <c r="J497" i="193"/>
  <c r="I497" i="193"/>
  <c r="Q497" i="193" s="1"/>
  <c r="H497" i="193"/>
  <c r="G497" i="193"/>
  <c r="P496" i="193"/>
  <c r="O496" i="193"/>
  <c r="N496" i="193"/>
  <c r="M496" i="193"/>
  <c r="L496" i="193"/>
  <c r="K496" i="193"/>
  <c r="J496" i="193"/>
  <c r="I496" i="193"/>
  <c r="H496" i="193"/>
  <c r="G496" i="193"/>
  <c r="P495" i="193"/>
  <c r="O495" i="193"/>
  <c r="N495" i="193"/>
  <c r="M495" i="193"/>
  <c r="L495" i="193"/>
  <c r="K495" i="193"/>
  <c r="J495" i="193"/>
  <c r="I495" i="193"/>
  <c r="H495" i="193"/>
  <c r="G495" i="193"/>
  <c r="P494" i="193"/>
  <c r="O494" i="193"/>
  <c r="N494" i="193"/>
  <c r="M494" i="193"/>
  <c r="L494" i="193"/>
  <c r="K494" i="193"/>
  <c r="J494" i="193"/>
  <c r="I494" i="193"/>
  <c r="H494" i="193"/>
  <c r="G494" i="193"/>
  <c r="P492" i="193"/>
  <c r="O492" i="193"/>
  <c r="N492" i="193"/>
  <c r="M492" i="193"/>
  <c r="L492" i="193"/>
  <c r="K492" i="193"/>
  <c r="J492" i="193"/>
  <c r="I492" i="193"/>
  <c r="H492" i="193"/>
  <c r="G492" i="193"/>
  <c r="P491" i="193"/>
  <c r="O491" i="193"/>
  <c r="N491" i="193"/>
  <c r="M491" i="193"/>
  <c r="L491" i="193"/>
  <c r="K491" i="193"/>
  <c r="J491" i="193"/>
  <c r="I491" i="193"/>
  <c r="H491" i="193"/>
  <c r="G491" i="193"/>
  <c r="P487" i="193"/>
  <c r="O487" i="193"/>
  <c r="N487" i="193"/>
  <c r="M487" i="193"/>
  <c r="L487" i="193"/>
  <c r="K487" i="193"/>
  <c r="J487" i="193"/>
  <c r="I487" i="193"/>
  <c r="H487" i="193"/>
  <c r="G487" i="193"/>
  <c r="P485" i="193"/>
  <c r="O485" i="193"/>
  <c r="N485" i="193"/>
  <c r="M485" i="193"/>
  <c r="L485" i="193"/>
  <c r="K485" i="193"/>
  <c r="J485" i="193"/>
  <c r="I485" i="193"/>
  <c r="H485" i="193"/>
  <c r="G485" i="193"/>
  <c r="P483" i="193"/>
  <c r="O483" i="193"/>
  <c r="N483" i="193"/>
  <c r="M483" i="193"/>
  <c r="L483" i="193"/>
  <c r="K483" i="193"/>
  <c r="J483" i="193"/>
  <c r="I483" i="193"/>
  <c r="Q483" i="193" s="1"/>
  <c r="H483" i="193"/>
  <c r="G483" i="193"/>
  <c r="P482" i="193"/>
  <c r="O482" i="193"/>
  <c r="N482" i="193"/>
  <c r="M482" i="193"/>
  <c r="L482" i="193"/>
  <c r="K482" i="193"/>
  <c r="J482" i="193"/>
  <c r="I482" i="193"/>
  <c r="H482" i="193"/>
  <c r="G482" i="193"/>
  <c r="P481" i="193"/>
  <c r="O481" i="193"/>
  <c r="N481" i="193"/>
  <c r="M481" i="193"/>
  <c r="L481" i="193"/>
  <c r="K481" i="193"/>
  <c r="J481" i="193"/>
  <c r="I481" i="193"/>
  <c r="H481" i="193"/>
  <c r="G481" i="193"/>
  <c r="P480" i="193"/>
  <c r="O480" i="193"/>
  <c r="N480" i="193"/>
  <c r="M480" i="193"/>
  <c r="L480" i="193"/>
  <c r="K480" i="193"/>
  <c r="J480" i="193"/>
  <c r="I480" i="193"/>
  <c r="H480" i="193"/>
  <c r="G480" i="193"/>
  <c r="P479" i="193"/>
  <c r="O479" i="193"/>
  <c r="N479" i="193"/>
  <c r="M479" i="193"/>
  <c r="L479" i="193"/>
  <c r="K479" i="193"/>
  <c r="J479" i="193"/>
  <c r="I479" i="193"/>
  <c r="H479" i="193"/>
  <c r="G479" i="193"/>
  <c r="P478" i="193"/>
  <c r="O478" i="193"/>
  <c r="N478" i="193"/>
  <c r="M478" i="193"/>
  <c r="L478" i="193"/>
  <c r="K478" i="193"/>
  <c r="J478" i="193"/>
  <c r="I478" i="193"/>
  <c r="H478" i="193"/>
  <c r="G478" i="193"/>
  <c r="Q478" i="193" s="1"/>
  <c r="P477" i="193"/>
  <c r="P488" i="193" s="1"/>
  <c r="P667" i="193" s="1"/>
  <c r="O477" i="193"/>
  <c r="N477" i="193"/>
  <c r="M477" i="193"/>
  <c r="M488" i="193" s="1"/>
  <c r="M667" i="193" s="1"/>
  <c r="L477" i="193"/>
  <c r="L488" i="193" s="1"/>
  <c r="L667" i="193" s="1"/>
  <c r="K477" i="193"/>
  <c r="J477" i="193"/>
  <c r="I477" i="193"/>
  <c r="I488" i="193" s="1"/>
  <c r="I667" i="193" s="1"/>
  <c r="H477" i="193"/>
  <c r="H488" i="193" s="1"/>
  <c r="H667" i="193" s="1"/>
  <c r="G477" i="193"/>
  <c r="P473" i="193"/>
  <c r="O473" i="193"/>
  <c r="N473" i="193"/>
  <c r="M473" i="193"/>
  <c r="L473" i="193"/>
  <c r="K473" i="193"/>
  <c r="J473" i="193"/>
  <c r="I473" i="193"/>
  <c r="H473" i="193"/>
  <c r="G473" i="193"/>
  <c r="P472" i="193"/>
  <c r="O472" i="193"/>
  <c r="N472" i="193"/>
  <c r="M472" i="193"/>
  <c r="L472" i="193"/>
  <c r="K472" i="193"/>
  <c r="J472" i="193"/>
  <c r="I472" i="193"/>
  <c r="H472" i="193"/>
  <c r="G472" i="193"/>
  <c r="P471" i="193"/>
  <c r="O471" i="193"/>
  <c r="N471" i="193"/>
  <c r="M471" i="193"/>
  <c r="L471" i="193"/>
  <c r="K471" i="193"/>
  <c r="J471" i="193"/>
  <c r="I471" i="193"/>
  <c r="H471" i="193"/>
  <c r="G471" i="193"/>
  <c r="P470" i="193"/>
  <c r="O470" i="193"/>
  <c r="N470" i="193"/>
  <c r="M470" i="193"/>
  <c r="L470" i="193"/>
  <c r="K470" i="193"/>
  <c r="J470" i="193"/>
  <c r="I470" i="193"/>
  <c r="Q470" i="193" s="1"/>
  <c r="H470" i="193"/>
  <c r="G470" i="193"/>
  <c r="P469" i="193"/>
  <c r="O469" i="193"/>
  <c r="N469" i="193"/>
  <c r="M469" i="193"/>
  <c r="L469" i="193"/>
  <c r="K469" i="193"/>
  <c r="J469" i="193"/>
  <c r="I469" i="193"/>
  <c r="H469" i="193"/>
  <c r="G469" i="193"/>
  <c r="P468" i="193"/>
  <c r="O468" i="193"/>
  <c r="N468" i="193"/>
  <c r="M468" i="193"/>
  <c r="L468" i="193"/>
  <c r="K468" i="193"/>
  <c r="J468" i="193"/>
  <c r="I468" i="193"/>
  <c r="H468" i="193"/>
  <c r="G468" i="193"/>
  <c r="P466" i="193"/>
  <c r="O466" i="193"/>
  <c r="N466" i="193"/>
  <c r="M466" i="193"/>
  <c r="L466" i="193"/>
  <c r="K466" i="193"/>
  <c r="J466" i="193"/>
  <c r="I466" i="193"/>
  <c r="H466" i="193"/>
  <c r="G466" i="193"/>
  <c r="P465" i="193"/>
  <c r="O465" i="193"/>
  <c r="N465" i="193"/>
  <c r="M465" i="193"/>
  <c r="L465" i="193"/>
  <c r="K465" i="193"/>
  <c r="J465" i="193"/>
  <c r="I465" i="193"/>
  <c r="Q465" i="193" s="1"/>
  <c r="H465" i="193"/>
  <c r="G465" i="193"/>
  <c r="P463" i="193"/>
  <c r="O463" i="193"/>
  <c r="N463" i="193"/>
  <c r="M463" i="193"/>
  <c r="L463" i="193"/>
  <c r="K463" i="193"/>
  <c r="J463" i="193"/>
  <c r="I463" i="193"/>
  <c r="H463" i="193"/>
  <c r="G463" i="193"/>
  <c r="P460" i="193"/>
  <c r="O460" i="193"/>
  <c r="N460" i="193"/>
  <c r="M460" i="193"/>
  <c r="L460" i="193"/>
  <c r="K460" i="193"/>
  <c r="J460" i="193"/>
  <c r="I460" i="193"/>
  <c r="H460" i="193"/>
  <c r="G460" i="193"/>
  <c r="P459" i="193"/>
  <c r="O459" i="193"/>
  <c r="N459" i="193"/>
  <c r="M459" i="193"/>
  <c r="L459" i="193"/>
  <c r="K459" i="193"/>
  <c r="J459" i="193"/>
  <c r="I459" i="193"/>
  <c r="H459" i="193"/>
  <c r="G459" i="193"/>
  <c r="P458" i="193"/>
  <c r="O458" i="193"/>
  <c r="N458" i="193"/>
  <c r="M458" i="193"/>
  <c r="L458" i="193"/>
  <c r="K458" i="193"/>
  <c r="J458" i="193"/>
  <c r="I458" i="193"/>
  <c r="H458" i="193"/>
  <c r="G458" i="193"/>
  <c r="P457" i="193"/>
  <c r="O457" i="193"/>
  <c r="N457" i="193"/>
  <c r="M457" i="193"/>
  <c r="L457" i="193"/>
  <c r="K457" i="193"/>
  <c r="J457" i="193"/>
  <c r="I457" i="193"/>
  <c r="H457" i="193"/>
  <c r="G457" i="193"/>
  <c r="P456" i="193"/>
  <c r="O456" i="193"/>
  <c r="N456" i="193"/>
  <c r="M456" i="193"/>
  <c r="L456" i="193"/>
  <c r="K456" i="193"/>
  <c r="J456" i="193"/>
  <c r="I456" i="193"/>
  <c r="H456" i="193"/>
  <c r="G456" i="193"/>
  <c r="P454" i="193"/>
  <c r="O454" i="193"/>
  <c r="N454" i="193"/>
  <c r="M454" i="193"/>
  <c r="L454" i="193"/>
  <c r="K454" i="193"/>
  <c r="J454" i="193"/>
  <c r="I454" i="193"/>
  <c r="H454" i="193"/>
  <c r="G454" i="193"/>
  <c r="P453" i="193"/>
  <c r="O453" i="193"/>
  <c r="N453" i="193"/>
  <c r="M453" i="193"/>
  <c r="L453" i="193"/>
  <c r="K453" i="193"/>
  <c r="J453" i="193"/>
  <c r="I453" i="193"/>
  <c r="Q453" i="193" s="1"/>
  <c r="H453" i="193"/>
  <c r="G453" i="193"/>
  <c r="P452" i="193"/>
  <c r="O452" i="193"/>
  <c r="N452" i="193"/>
  <c r="M452" i="193"/>
  <c r="L452" i="193"/>
  <c r="K452" i="193"/>
  <c r="J452" i="193"/>
  <c r="I452" i="193"/>
  <c r="H452" i="193"/>
  <c r="G452" i="193"/>
  <c r="P451" i="193"/>
  <c r="O451" i="193"/>
  <c r="N451" i="193"/>
  <c r="M451" i="193"/>
  <c r="L451" i="193"/>
  <c r="K451" i="193"/>
  <c r="J451" i="193"/>
  <c r="I451" i="193"/>
  <c r="H451" i="193"/>
  <c r="G451" i="193"/>
  <c r="P450" i="193"/>
  <c r="O450" i="193"/>
  <c r="N450" i="193"/>
  <c r="M450" i="193"/>
  <c r="L450" i="193"/>
  <c r="K450" i="193"/>
  <c r="J450" i="193"/>
  <c r="I450" i="193"/>
  <c r="H450" i="193"/>
  <c r="G450" i="193"/>
  <c r="P449" i="193"/>
  <c r="O449" i="193"/>
  <c r="N449" i="193"/>
  <c r="M449" i="193"/>
  <c r="L449" i="193"/>
  <c r="K449" i="193"/>
  <c r="J449" i="193"/>
  <c r="I449" i="193"/>
  <c r="H449" i="193"/>
  <c r="G449" i="193"/>
  <c r="P448" i="193"/>
  <c r="O448" i="193"/>
  <c r="N448" i="193"/>
  <c r="M448" i="193"/>
  <c r="L448" i="193"/>
  <c r="K448" i="193"/>
  <c r="J448" i="193"/>
  <c r="I448" i="193"/>
  <c r="H448" i="193"/>
  <c r="G448" i="193"/>
  <c r="P447" i="193"/>
  <c r="O447" i="193"/>
  <c r="N447" i="193"/>
  <c r="M447" i="193"/>
  <c r="L447" i="193"/>
  <c r="K447" i="193"/>
  <c r="J447" i="193"/>
  <c r="I447" i="193"/>
  <c r="Q447" i="193" s="1"/>
  <c r="H447" i="193"/>
  <c r="G447" i="193"/>
  <c r="P446" i="193"/>
  <c r="O446" i="193"/>
  <c r="N446" i="193"/>
  <c r="M446" i="193"/>
  <c r="L446" i="193"/>
  <c r="K446" i="193"/>
  <c r="J446" i="193"/>
  <c r="I446" i="193"/>
  <c r="H446" i="193"/>
  <c r="G446" i="193"/>
  <c r="P445" i="193"/>
  <c r="O445" i="193"/>
  <c r="N445" i="193"/>
  <c r="M445" i="193"/>
  <c r="L445" i="193"/>
  <c r="K445" i="193"/>
  <c r="J445" i="193"/>
  <c r="I445" i="193"/>
  <c r="H445" i="193"/>
  <c r="G445" i="193"/>
  <c r="P444" i="193"/>
  <c r="O444" i="193"/>
  <c r="N444" i="193"/>
  <c r="M444" i="193"/>
  <c r="L444" i="193"/>
  <c r="K444" i="193"/>
  <c r="J444" i="193"/>
  <c r="I444" i="193"/>
  <c r="H444" i="193"/>
  <c r="G444" i="193"/>
  <c r="P443" i="193"/>
  <c r="O443" i="193"/>
  <c r="N443" i="193"/>
  <c r="M443" i="193"/>
  <c r="L443" i="193"/>
  <c r="K443" i="193"/>
  <c r="J443" i="193"/>
  <c r="I443" i="193"/>
  <c r="Q443" i="193" s="1"/>
  <c r="H443" i="193"/>
  <c r="G443" i="193"/>
  <c r="P442" i="193"/>
  <c r="O442" i="193"/>
  <c r="N442" i="193"/>
  <c r="M442" i="193"/>
  <c r="L442" i="193"/>
  <c r="K442" i="193"/>
  <c r="J442" i="193"/>
  <c r="I442" i="193"/>
  <c r="H442" i="193"/>
  <c r="G442" i="193"/>
  <c r="P441" i="193"/>
  <c r="O441" i="193"/>
  <c r="N441" i="193"/>
  <c r="M441" i="193"/>
  <c r="L441" i="193"/>
  <c r="K441" i="193"/>
  <c r="J441" i="193"/>
  <c r="I441" i="193"/>
  <c r="H441" i="193"/>
  <c r="G441" i="193"/>
  <c r="P439" i="193"/>
  <c r="O439" i="193"/>
  <c r="N439" i="193"/>
  <c r="M439" i="193"/>
  <c r="L439" i="193"/>
  <c r="K439" i="193"/>
  <c r="J439" i="193"/>
  <c r="I439" i="193"/>
  <c r="H439" i="193"/>
  <c r="G439" i="193"/>
  <c r="P438" i="193"/>
  <c r="O438" i="193"/>
  <c r="N438" i="193"/>
  <c r="M438" i="193"/>
  <c r="L438" i="193"/>
  <c r="K438" i="193"/>
  <c r="J438" i="193"/>
  <c r="I438" i="193"/>
  <c r="H438" i="193"/>
  <c r="G438" i="193"/>
  <c r="P437" i="193"/>
  <c r="O437" i="193"/>
  <c r="N437" i="193"/>
  <c r="M437" i="193"/>
  <c r="L437" i="193"/>
  <c r="K437" i="193"/>
  <c r="J437" i="193"/>
  <c r="I437" i="193"/>
  <c r="H437" i="193"/>
  <c r="G437" i="193"/>
  <c r="P436" i="193"/>
  <c r="O436" i="193"/>
  <c r="N436" i="193"/>
  <c r="M436" i="193"/>
  <c r="L436" i="193"/>
  <c r="K436" i="193"/>
  <c r="J436" i="193"/>
  <c r="I436" i="193"/>
  <c r="Q436" i="193" s="1"/>
  <c r="H436" i="193"/>
  <c r="G436" i="193"/>
  <c r="P435" i="193"/>
  <c r="O435" i="193"/>
  <c r="N435" i="193"/>
  <c r="M435" i="193"/>
  <c r="L435" i="193"/>
  <c r="K435" i="193"/>
  <c r="J435" i="193"/>
  <c r="I435" i="193"/>
  <c r="H435" i="193"/>
  <c r="G435" i="193"/>
  <c r="Q435" i="193" s="1"/>
  <c r="P434" i="193"/>
  <c r="O434" i="193"/>
  <c r="N434" i="193"/>
  <c r="M434" i="193"/>
  <c r="L434" i="193"/>
  <c r="K434" i="193"/>
  <c r="J434" i="193"/>
  <c r="I434" i="193"/>
  <c r="H434" i="193"/>
  <c r="G434" i="193"/>
  <c r="P433" i="193"/>
  <c r="O433" i="193"/>
  <c r="N433" i="193"/>
  <c r="M433" i="193"/>
  <c r="L433" i="193"/>
  <c r="K433" i="193"/>
  <c r="J433" i="193"/>
  <c r="I433" i="193"/>
  <c r="H433" i="193"/>
  <c r="G433" i="193"/>
  <c r="P432" i="193"/>
  <c r="O432" i="193"/>
  <c r="N432" i="193"/>
  <c r="M432" i="193"/>
  <c r="L432" i="193"/>
  <c r="K432" i="193"/>
  <c r="J432" i="193"/>
  <c r="I432" i="193"/>
  <c r="H432" i="193"/>
  <c r="G432" i="193"/>
  <c r="Q431" i="193"/>
  <c r="P430" i="193"/>
  <c r="O430" i="193"/>
  <c r="N430" i="193"/>
  <c r="M430" i="193"/>
  <c r="L430" i="193"/>
  <c r="K430" i="193"/>
  <c r="J430" i="193"/>
  <c r="I430" i="193"/>
  <c r="H430" i="193"/>
  <c r="Q430" i="193" s="1"/>
  <c r="G430" i="193"/>
  <c r="P429" i="193"/>
  <c r="O429" i="193"/>
  <c r="N429" i="193"/>
  <c r="M429" i="193"/>
  <c r="L429" i="193"/>
  <c r="K429" i="193"/>
  <c r="J429" i="193"/>
  <c r="I429" i="193"/>
  <c r="H429" i="193"/>
  <c r="G429" i="193"/>
  <c r="P428" i="193"/>
  <c r="O428" i="193"/>
  <c r="N428" i="193"/>
  <c r="M428" i="193"/>
  <c r="L428" i="193"/>
  <c r="K428" i="193"/>
  <c r="J428" i="193"/>
  <c r="I428" i="193"/>
  <c r="H428" i="193"/>
  <c r="G428" i="193"/>
  <c r="P427" i="193"/>
  <c r="O427" i="193"/>
  <c r="N427" i="193"/>
  <c r="M427" i="193"/>
  <c r="L427" i="193"/>
  <c r="K427" i="193"/>
  <c r="J427" i="193"/>
  <c r="I427" i="193"/>
  <c r="H427" i="193"/>
  <c r="G427" i="193"/>
  <c r="P426" i="193"/>
  <c r="O426" i="193"/>
  <c r="N426" i="193"/>
  <c r="M426" i="193"/>
  <c r="L426" i="193"/>
  <c r="K426" i="193"/>
  <c r="J426" i="193"/>
  <c r="I426" i="193"/>
  <c r="H426" i="193"/>
  <c r="G426" i="193"/>
  <c r="P425" i="193"/>
  <c r="O425" i="193"/>
  <c r="N425" i="193"/>
  <c r="M425" i="193"/>
  <c r="L425" i="193"/>
  <c r="K425" i="193"/>
  <c r="J425" i="193"/>
  <c r="I425" i="193"/>
  <c r="H425" i="193"/>
  <c r="G425" i="193"/>
  <c r="P424" i="193"/>
  <c r="O424" i="193"/>
  <c r="N424" i="193"/>
  <c r="M424" i="193"/>
  <c r="L424" i="193"/>
  <c r="K424" i="193"/>
  <c r="J424" i="193"/>
  <c r="I424" i="193"/>
  <c r="H424" i="193"/>
  <c r="G424" i="193"/>
  <c r="P423" i="193"/>
  <c r="O423" i="193"/>
  <c r="N423" i="193"/>
  <c r="M423" i="193"/>
  <c r="L423" i="193"/>
  <c r="K423" i="193"/>
  <c r="J423" i="193"/>
  <c r="I423" i="193"/>
  <c r="H423" i="193"/>
  <c r="G423" i="193"/>
  <c r="P422" i="193"/>
  <c r="O422" i="193"/>
  <c r="N422" i="193"/>
  <c r="M422" i="193"/>
  <c r="L422" i="193"/>
  <c r="K422" i="193"/>
  <c r="J422" i="193"/>
  <c r="I422" i="193"/>
  <c r="H422" i="193"/>
  <c r="G422" i="193"/>
  <c r="P421" i="193"/>
  <c r="O421" i="193"/>
  <c r="N421" i="193"/>
  <c r="M421" i="193"/>
  <c r="L421" i="193"/>
  <c r="K421" i="193"/>
  <c r="J421" i="193"/>
  <c r="I421" i="193"/>
  <c r="H421" i="193"/>
  <c r="G421" i="193"/>
  <c r="P420" i="193"/>
  <c r="O420" i="193"/>
  <c r="N420" i="193"/>
  <c r="M420" i="193"/>
  <c r="L420" i="193"/>
  <c r="K420" i="193"/>
  <c r="J420" i="193"/>
  <c r="I420" i="193"/>
  <c r="H420" i="193"/>
  <c r="G420" i="193"/>
  <c r="P419" i="193"/>
  <c r="O419" i="193"/>
  <c r="N419" i="193"/>
  <c r="M419" i="193"/>
  <c r="L419" i="193"/>
  <c r="K419" i="193"/>
  <c r="J419" i="193"/>
  <c r="I419" i="193"/>
  <c r="H419" i="193"/>
  <c r="G419" i="193"/>
  <c r="P418" i="193"/>
  <c r="O418" i="193"/>
  <c r="N418" i="193"/>
  <c r="M418" i="193"/>
  <c r="L418" i="193"/>
  <c r="K418" i="193"/>
  <c r="J418" i="193"/>
  <c r="I418" i="193"/>
  <c r="H418" i="193"/>
  <c r="G418" i="193"/>
  <c r="P417" i="193"/>
  <c r="O417" i="193"/>
  <c r="N417" i="193"/>
  <c r="M417" i="193"/>
  <c r="L417" i="193"/>
  <c r="K417" i="193"/>
  <c r="J417" i="193"/>
  <c r="I417" i="193"/>
  <c r="H417" i="193"/>
  <c r="G417" i="193"/>
  <c r="P416" i="193"/>
  <c r="O416" i="193"/>
  <c r="N416" i="193"/>
  <c r="M416" i="193"/>
  <c r="L416" i="193"/>
  <c r="K416" i="193"/>
  <c r="J416" i="193"/>
  <c r="I416" i="193"/>
  <c r="H416" i="193"/>
  <c r="G416" i="193"/>
  <c r="P415" i="193"/>
  <c r="O415" i="193"/>
  <c r="N415" i="193"/>
  <c r="M415" i="193"/>
  <c r="L415" i="193"/>
  <c r="K415" i="193"/>
  <c r="J415" i="193"/>
  <c r="I415" i="193"/>
  <c r="H415" i="193"/>
  <c r="G415" i="193"/>
  <c r="P414" i="193"/>
  <c r="O414" i="193"/>
  <c r="N414" i="193"/>
  <c r="M414" i="193"/>
  <c r="L414" i="193"/>
  <c r="K414" i="193"/>
  <c r="J414" i="193"/>
  <c r="I414" i="193"/>
  <c r="H414" i="193"/>
  <c r="Q414" i="193" s="1"/>
  <c r="G414" i="193"/>
  <c r="P413" i="193"/>
  <c r="O413" i="193"/>
  <c r="N413" i="193"/>
  <c r="M413" i="193"/>
  <c r="L413" i="193"/>
  <c r="K413" i="193"/>
  <c r="J413" i="193"/>
  <c r="I413" i="193"/>
  <c r="H413" i="193"/>
  <c r="G413" i="193"/>
  <c r="P412" i="193"/>
  <c r="O412" i="193"/>
  <c r="N412" i="193"/>
  <c r="M412" i="193"/>
  <c r="L412" i="193"/>
  <c r="K412" i="193"/>
  <c r="J412" i="193"/>
  <c r="I412" i="193"/>
  <c r="H412" i="193"/>
  <c r="G412" i="193"/>
  <c r="P411" i="193"/>
  <c r="O411" i="193"/>
  <c r="N411" i="193"/>
  <c r="M411" i="193"/>
  <c r="L411" i="193"/>
  <c r="K411" i="193"/>
  <c r="J411" i="193"/>
  <c r="I411" i="193"/>
  <c r="H411" i="193"/>
  <c r="G411" i="193"/>
  <c r="P410" i="193"/>
  <c r="O410" i="193"/>
  <c r="N410" i="193"/>
  <c r="M410" i="193"/>
  <c r="L410" i="193"/>
  <c r="K410" i="193"/>
  <c r="J410" i="193"/>
  <c r="I410" i="193"/>
  <c r="H410" i="193"/>
  <c r="G410" i="193"/>
  <c r="P409" i="193"/>
  <c r="O409" i="193"/>
  <c r="N409" i="193"/>
  <c r="M409" i="193"/>
  <c r="L409" i="193"/>
  <c r="K409" i="193"/>
  <c r="J409" i="193"/>
  <c r="I409" i="193"/>
  <c r="H409" i="193"/>
  <c r="G409" i="193"/>
  <c r="P408" i="193"/>
  <c r="O408" i="193"/>
  <c r="N408" i="193"/>
  <c r="M408" i="193"/>
  <c r="L408" i="193"/>
  <c r="K408" i="193"/>
  <c r="J408" i="193"/>
  <c r="I408" i="193"/>
  <c r="H408" i="193"/>
  <c r="G408" i="193"/>
  <c r="P407" i="193"/>
  <c r="O407" i="193"/>
  <c r="N407" i="193"/>
  <c r="M407" i="193"/>
  <c r="L407" i="193"/>
  <c r="K407" i="193"/>
  <c r="J407" i="193"/>
  <c r="I407" i="193"/>
  <c r="H407" i="193"/>
  <c r="G407" i="193"/>
  <c r="P406" i="193"/>
  <c r="O406" i="193"/>
  <c r="N406" i="193"/>
  <c r="M406" i="193"/>
  <c r="L406" i="193"/>
  <c r="K406" i="193"/>
  <c r="J406" i="193"/>
  <c r="I406" i="193"/>
  <c r="H406" i="193"/>
  <c r="G406" i="193"/>
  <c r="P405" i="193"/>
  <c r="O405" i="193"/>
  <c r="N405" i="193"/>
  <c r="M405" i="193"/>
  <c r="L405" i="193"/>
  <c r="K405" i="193"/>
  <c r="J405" i="193"/>
  <c r="I405" i="193"/>
  <c r="H405" i="193"/>
  <c r="G405" i="193"/>
  <c r="P404" i="193"/>
  <c r="O404" i="193"/>
  <c r="N404" i="193"/>
  <c r="M404" i="193"/>
  <c r="L404" i="193"/>
  <c r="K404" i="193"/>
  <c r="J404" i="193"/>
  <c r="I404" i="193"/>
  <c r="H404" i="193"/>
  <c r="G404" i="193"/>
  <c r="P403" i="193"/>
  <c r="O403" i="193"/>
  <c r="N403" i="193"/>
  <c r="M403" i="193"/>
  <c r="L403" i="193"/>
  <c r="K403" i="193"/>
  <c r="J403" i="193"/>
  <c r="I403" i="193"/>
  <c r="H403" i="193"/>
  <c r="G403" i="193"/>
  <c r="P402" i="193"/>
  <c r="O402" i="193"/>
  <c r="N402" i="193"/>
  <c r="M402" i="193"/>
  <c r="L402" i="193"/>
  <c r="K402" i="193"/>
  <c r="J402" i="193"/>
  <c r="I402" i="193"/>
  <c r="H402" i="193"/>
  <c r="G402" i="193"/>
  <c r="P401" i="193"/>
  <c r="O401" i="193"/>
  <c r="N401" i="193"/>
  <c r="M401" i="193"/>
  <c r="L401" i="193"/>
  <c r="K401" i="193"/>
  <c r="J401" i="193"/>
  <c r="I401" i="193"/>
  <c r="H401" i="193"/>
  <c r="G401" i="193"/>
  <c r="P400" i="193"/>
  <c r="O400" i="193"/>
  <c r="N400" i="193"/>
  <c r="M400" i="193"/>
  <c r="L400" i="193"/>
  <c r="K400" i="193"/>
  <c r="J400" i="193"/>
  <c r="I400" i="193"/>
  <c r="H400" i="193"/>
  <c r="G400" i="193"/>
  <c r="P399" i="193"/>
  <c r="O399" i="193"/>
  <c r="N399" i="193"/>
  <c r="M399" i="193"/>
  <c r="L399" i="193"/>
  <c r="K399" i="193"/>
  <c r="J399" i="193"/>
  <c r="I399" i="193"/>
  <c r="H399" i="193"/>
  <c r="G399" i="193"/>
  <c r="P398" i="193"/>
  <c r="O398" i="193"/>
  <c r="N398" i="193"/>
  <c r="M398" i="193"/>
  <c r="L398" i="193"/>
  <c r="K398" i="193"/>
  <c r="J398" i="193"/>
  <c r="I398" i="193"/>
  <c r="H398" i="193"/>
  <c r="Q398" i="193" s="1"/>
  <c r="G398" i="193"/>
  <c r="P397" i="193"/>
  <c r="O397" i="193"/>
  <c r="N397" i="193"/>
  <c r="M397" i="193"/>
  <c r="L397" i="193"/>
  <c r="K397" i="193"/>
  <c r="J397" i="193"/>
  <c r="I397" i="193"/>
  <c r="H397" i="193"/>
  <c r="G397" i="193"/>
  <c r="P396" i="193"/>
  <c r="O396" i="193"/>
  <c r="N396" i="193"/>
  <c r="M396" i="193"/>
  <c r="L396" i="193"/>
  <c r="K396" i="193"/>
  <c r="J396" i="193"/>
  <c r="I396" i="193"/>
  <c r="H396" i="193"/>
  <c r="G396" i="193"/>
  <c r="P395" i="193"/>
  <c r="O395" i="193"/>
  <c r="N395" i="193"/>
  <c r="M395" i="193"/>
  <c r="L395" i="193"/>
  <c r="K395" i="193"/>
  <c r="J395" i="193"/>
  <c r="I395" i="193"/>
  <c r="H395" i="193"/>
  <c r="G395" i="193"/>
  <c r="P394" i="193"/>
  <c r="O394" i="193"/>
  <c r="N394" i="193"/>
  <c r="M394" i="193"/>
  <c r="L394" i="193"/>
  <c r="K394" i="193"/>
  <c r="J394" i="193"/>
  <c r="I394" i="193"/>
  <c r="H394" i="193"/>
  <c r="G394" i="193"/>
  <c r="P393" i="193"/>
  <c r="O393" i="193"/>
  <c r="N393" i="193"/>
  <c r="M393" i="193"/>
  <c r="L393" i="193"/>
  <c r="K393" i="193"/>
  <c r="J393" i="193"/>
  <c r="I393" i="193"/>
  <c r="H393" i="193"/>
  <c r="G393" i="193"/>
  <c r="P392" i="193"/>
  <c r="O392" i="193"/>
  <c r="N392" i="193"/>
  <c r="M392" i="193"/>
  <c r="L392" i="193"/>
  <c r="K392" i="193"/>
  <c r="J392" i="193"/>
  <c r="I392" i="193"/>
  <c r="H392" i="193"/>
  <c r="G392" i="193"/>
  <c r="P391" i="193"/>
  <c r="O391" i="193"/>
  <c r="N391" i="193"/>
  <c r="M391" i="193"/>
  <c r="L391" i="193"/>
  <c r="K391" i="193"/>
  <c r="J391" i="193"/>
  <c r="I391" i="193"/>
  <c r="H391" i="193"/>
  <c r="G391" i="193"/>
  <c r="P390" i="193"/>
  <c r="O390" i="193"/>
  <c r="N390" i="193"/>
  <c r="M390" i="193"/>
  <c r="L390" i="193"/>
  <c r="K390" i="193"/>
  <c r="J390" i="193"/>
  <c r="I390" i="193"/>
  <c r="H390" i="193"/>
  <c r="G390" i="193"/>
  <c r="P389" i="193"/>
  <c r="O389" i="193"/>
  <c r="N389" i="193"/>
  <c r="M389" i="193"/>
  <c r="L389" i="193"/>
  <c r="K389" i="193"/>
  <c r="J389" i="193"/>
  <c r="I389" i="193"/>
  <c r="H389" i="193"/>
  <c r="G389" i="193"/>
  <c r="P388" i="193"/>
  <c r="O388" i="193"/>
  <c r="N388" i="193"/>
  <c r="M388" i="193"/>
  <c r="L388" i="193"/>
  <c r="K388" i="193"/>
  <c r="J388" i="193"/>
  <c r="I388" i="193"/>
  <c r="H388" i="193"/>
  <c r="G388" i="193"/>
  <c r="P387" i="193"/>
  <c r="O387" i="193"/>
  <c r="N387" i="193"/>
  <c r="M387" i="193"/>
  <c r="L387" i="193"/>
  <c r="K387" i="193"/>
  <c r="J387" i="193"/>
  <c r="I387" i="193"/>
  <c r="H387" i="193"/>
  <c r="G387" i="193"/>
  <c r="P386" i="193"/>
  <c r="O386" i="193"/>
  <c r="N386" i="193"/>
  <c r="M386" i="193"/>
  <c r="L386" i="193"/>
  <c r="K386" i="193"/>
  <c r="J386" i="193"/>
  <c r="I386" i="193"/>
  <c r="H386" i="193"/>
  <c r="G386" i="193"/>
  <c r="P385" i="193"/>
  <c r="O385" i="193"/>
  <c r="N385" i="193"/>
  <c r="M385" i="193"/>
  <c r="L385" i="193"/>
  <c r="K385" i="193"/>
  <c r="J385" i="193"/>
  <c r="I385" i="193"/>
  <c r="H385" i="193"/>
  <c r="G385" i="193"/>
  <c r="P384" i="193"/>
  <c r="O384" i="193"/>
  <c r="N384" i="193"/>
  <c r="M384" i="193"/>
  <c r="L384" i="193"/>
  <c r="K384" i="193"/>
  <c r="J384" i="193"/>
  <c r="I384" i="193"/>
  <c r="H384" i="193"/>
  <c r="G384" i="193"/>
  <c r="P383" i="193"/>
  <c r="O383" i="193"/>
  <c r="N383" i="193"/>
  <c r="M383" i="193"/>
  <c r="L383" i="193"/>
  <c r="K383" i="193"/>
  <c r="J383" i="193"/>
  <c r="I383" i="193"/>
  <c r="H383" i="193"/>
  <c r="G383" i="193"/>
  <c r="P382" i="193"/>
  <c r="O382" i="193"/>
  <c r="N382" i="193"/>
  <c r="M382" i="193"/>
  <c r="L382" i="193"/>
  <c r="K382" i="193"/>
  <c r="J382" i="193"/>
  <c r="I382" i="193"/>
  <c r="H382" i="193"/>
  <c r="Q382" i="193" s="1"/>
  <c r="G382" i="193"/>
  <c r="P381" i="193"/>
  <c r="O381" i="193"/>
  <c r="N381" i="193"/>
  <c r="M381" i="193"/>
  <c r="L381" i="193"/>
  <c r="K381" i="193"/>
  <c r="J381" i="193"/>
  <c r="I381" i="193"/>
  <c r="H381" i="193"/>
  <c r="G381" i="193"/>
  <c r="P380" i="193"/>
  <c r="O380" i="193"/>
  <c r="N380" i="193"/>
  <c r="M380" i="193"/>
  <c r="L380" i="193"/>
  <c r="K380" i="193"/>
  <c r="J380" i="193"/>
  <c r="I380" i="193"/>
  <c r="H380" i="193"/>
  <c r="G380" i="193"/>
  <c r="P379" i="193"/>
  <c r="O379" i="193"/>
  <c r="N379" i="193"/>
  <c r="M379" i="193"/>
  <c r="L379" i="193"/>
  <c r="K379" i="193"/>
  <c r="J379" i="193"/>
  <c r="I379" i="193"/>
  <c r="H379" i="193"/>
  <c r="G379" i="193"/>
  <c r="P377" i="193"/>
  <c r="O377" i="193"/>
  <c r="N377" i="193"/>
  <c r="M377" i="193"/>
  <c r="L377" i="193"/>
  <c r="K377" i="193"/>
  <c r="J377" i="193"/>
  <c r="I377" i="193"/>
  <c r="H377" i="193"/>
  <c r="G377" i="193"/>
  <c r="P376" i="193"/>
  <c r="O376" i="193"/>
  <c r="N376" i="193"/>
  <c r="M376" i="193"/>
  <c r="L376" i="193"/>
  <c r="K376" i="193"/>
  <c r="J376" i="193"/>
  <c r="I376" i="193"/>
  <c r="H376" i="193"/>
  <c r="G376" i="193"/>
  <c r="P375" i="193"/>
  <c r="O375" i="193"/>
  <c r="N375" i="193"/>
  <c r="M375" i="193"/>
  <c r="L375" i="193"/>
  <c r="K375" i="193"/>
  <c r="J375" i="193"/>
  <c r="I375" i="193"/>
  <c r="H375" i="193"/>
  <c r="G375" i="193"/>
  <c r="P374" i="193"/>
  <c r="O374" i="193"/>
  <c r="N374" i="193"/>
  <c r="M374" i="193"/>
  <c r="L374" i="193"/>
  <c r="K374" i="193"/>
  <c r="J374" i="193"/>
  <c r="I374" i="193"/>
  <c r="H374" i="193"/>
  <c r="G374" i="193"/>
  <c r="P372" i="193"/>
  <c r="O372" i="193"/>
  <c r="N372" i="193"/>
  <c r="M372" i="193"/>
  <c r="L372" i="193"/>
  <c r="K372" i="193"/>
  <c r="J372" i="193"/>
  <c r="I372" i="193"/>
  <c r="H372" i="193"/>
  <c r="G372" i="193"/>
  <c r="P371" i="193"/>
  <c r="O371" i="193"/>
  <c r="N371" i="193"/>
  <c r="M371" i="193"/>
  <c r="L371" i="193"/>
  <c r="K371" i="193"/>
  <c r="J371" i="193"/>
  <c r="I371" i="193"/>
  <c r="H371" i="193"/>
  <c r="G371" i="193"/>
  <c r="P370" i="193"/>
  <c r="O370" i="193"/>
  <c r="N370" i="193"/>
  <c r="M370" i="193"/>
  <c r="L370" i="193"/>
  <c r="K370" i="193"/>
  <c r="J370" i="193"/>
  <c r="I370" i="193"/>
  <c r="H370" i="193"/>
  <c r="G370" i="193"/>
  <c r="P369" i="193"/>
  <c r="O369" i="193"/>
  <c r="N369" i="193"/>
  <c r="M369" i="193"/>
  <c r="L369" i="193"/>
  <c r="K369" i="193"/>
  <c r="J369" i="193"/>
  <c r="I369" i="193"/>
  <c r="H369" i="193"/>
  <c r="G369" i="193"/>
  <c r="P368" i="193"/>
  <c r="O368" i="193"/>
  <c r="N368" i="193"/>
  <c r="M368" i="193"/>
  <c r="L368" i="193"/>
  <c r="K368" i="193"/>
  <c r="J368" i="193"/>
  <c r="I368" i="193"/>
  <c r="H368" i="193"/>
  <c r="G368" i="193"/>
  <c r="P367" i="193"/>
  <c r="O367" i="193"/>
  <c r="N367" i="193"/>
  <c r="M367" i="193"/>
  <c r="L367" i="193"/>
  <c r="K367" i="193"/>
  <c r="J367" i="193"/>
  <c r="I367" i="193"/>
  <c r="H367" i="193"/>
  <c r="G367" i="193"/>
  <c r="P365" i="193"/>
  <c r="O365" i="193"/>
  <c r="N365" i="193"/>
  <c r="M365" i="193"/>
  <c r="L365" i="193"/>
  <c r="K365" i="193"/>
  <c r="J365" i="193"/>
  <c r="I365" i="193"/>
  <c r="H365" i="193"/>
  <c r="G365" i="193"/>
  <c r="P363" i="193"/>
  <c r="O363" i="193"/>
  <c r="N363" i="193"/>
  <c r="M363" i="193"/>
  <c r="L363" i="193"/>
  <c r="K363" i="193"/>
  <c r="J363" i="193"/>
  <c r="I363" i="193"/>
  <c r="H363" i="193"/>
  <c r="G363" i="193"/>
  <c r="P362" i="193"/>
  <c r="O362" i="193"/>
  <c r="N362" i="193"/>
  <c r="M362" i="193"/>
  <c r="L362" i="193"/>
  <c r="K362" i="193"/>
  <c r="J362" i="193"/>
  <c r="I362" i="193"/>
  <c r="H362" i="193"/>
  <c r="Q362" i="193" s="1"/>
  <c r="G362" i="193"/>
  <c r="P361" i="193"/>
  <c r="O361" i="193"/>
  <c r="N361" i="193"/>
  <c r="M361" i="193"/>
  <c r="L361" i="193"/>
  <c r="K361" i="193"/>
  <c r="J361" i="193"/>
  <c r="I361" i="193"/>
  <c r="H361" i="193"/>
  <c r="G361" i="193"/>
  <c r="P360" i="193"/>
  <c r="O360" i="193"/>
  <c r="N360" i="193"/>
  <c r="M360" i="193"/>
  <c r="L360" i="193"/>
  <c r="K360" i="193"/>
  <c r="J360" i="193"/>
  <c r="I360" i="193"/>
  <c r="H360" i="193"/>
  <c r="G360" i="193"/>
  <c r="P359" i="193"/>
  <c r="O359" i="193"/>
  <c r="N359" i="193"/>
  <c r="M359" i="193"/>
  <c r="L359" i="193"/>
  <c r="K359" i="193"/>
  <c r="J359" i="193"/>
  <c r="I359" i="193"/>
  <c r="H359" i="193"/>
  <c r="G359" i="193"/>
  <c r="P357" i="193"/>
  <c r="O357" i="193"/>
  <c r="N357" i="193"/>
  <c r="M357" i="193"/>
  <c r="L357" i="193"/>
  <c r="K357" i="193"/>
  <c r="J357" i="193"/>
  <c r="I357" i="193"/>
  <c r="H357" i="193"/>
  <c r="G357" i="193"/>
  <c r="P356" i="193"/>
  <c r="O356" i="193"/>
  <c r="N356" i="193"/>
  <c r="M356" i="193"/>
  <c r="L356" i="193"/>
  <c r="K356" i="193"/>
  <c r="J356" i="193"/>
  <c r="I356" i="193"/>
  <c r="H356" i="193"/>
  <c r="G356" i="193"/>
  <c r="P355" i="193"/>
  <c r="O355" i="193"/>
  <c r="N355" i="193"/>
  <c r="M355" i="193"/>
  <c r="L355" i="193"/>
  <c r="K355" i="193"/>
  <c r="J355" i="193"/>
  <c r="I355" i="193"/>
  <c r="H355" i="193"/>
  <c r="G355" i="193"/>
  <c r="P354" i="193"/>
  <c r="O354" i="193"/>
  <c r="N354" i="193"/>
  <c r="M354" i="193"/>
  <c r="L354" i="193"/>
  <c r="K354" i="193"/>
  <c r="J354" i="193"/>
  <c r="I354" i="193"/>
  <c r="H354" i="193"/>
  <c r="G354" i="193"/>
  <c r="P353" i="193"/>
  <c r="O353" i="193"/>
  <c r="N353" i="193"/>
  <c r="M353" i="193"/>
  <c r="L353" i="193"/>
  <c r="K353" i="193"/>
  <c r="J353" i="193"/>
  <c r="I353" i="193"/>
  <c r="H353" i="193"/>
  <c r="G353" i="193"/>
  <c r="P352" i="193"/>
  <c r="O352" i="193"/>
  <c r="N352" i="193"/>
  <c r="M352" i="193"/>
  <c r="L352" i="193"/>
  <c r="K352" i="193"/>
  <c r="J352" i="193"/>
  <c r="I352" i="193"/>
  <c r="H352" i="193"/>
  <c r="G352" i="193"/>
  <c r="P351" i="193"/>
  <c r="O351" i="193"/>
  <c r="N351" i="193"/>
  <c r="M351" i="193"/>
  <c r="L351" i="193"/>
  <c r="K351" i="193"/>
  <c r="J351" i="193"/>
  <c r="I351" i="193"/>
  <c r="H351" i="193"/>
  <c r="G351" i="193"/>
  <c r="P350" i="193"/>
  <c r="O350" i="193"/>
  <c r="N350" i="193"/>
  <c r="M350" i="193"/>
  <c r="L350" i="193"/>
  <c r="K350" i="193"/>
  <c r="J350" i="193"/>
  <c r="I350" i="193"/>
  <c r="H350" i="193"/>
  <c r="G350" i="193"/>
  <c r="P346" i="193"/>
  <c r="O346" i="193"/>
  <c r="N346" i="193"/>
  <c r="M346" i="193"/>
  <c r="L346" i="193"/>
  <c r="K346" i="193"/>
  <c r="J346" i="193"/>
  <c r="I346" i="193"/>
  <c r="H346" i="193"/>
  <c r="G346" i="193"/>
  <c r="P344" i="193"/>
  <c r="O344" i="193"/>
  <c r="N344" i="193"/>
  <c r="M344" i="193"/>
  <c r="L344" i="193"/>
  <c r="K344" i="193"/>
  <c r="J344" i="193"/>
  <c r="I344" i="193"/>
  <c r="H344" i="193"/>
  <c r="G344" i="193"/>
  <c r="P342" i="193"/>
  <c r="O342" i="193"/>
  <c r="N342" i="193"/>
  <c r="M342" i="193"/>
  <c r="L342" i="193"/>
  <c r="K342" i="193"/>
  <c r="J342" i="193"/>
  <c r="I342" i="193"/>
  <c r="H342" i="193"/>
  <c r="G342" i="193"/>
  <c r="P340" i="193"/>
  <c r="O340" i="193"/>
  <c r="N340" i="193"/>
  <c r="M340" i="193"/>
  <c r="L340" i="193"/>
  <c r="K340" i="193"/>
  <c r="J340" i="193"/>
  <c r="I340" i="193"/>
  <c r="H340" i="193"/>
  <c r="G340" i="193"/>
  <c r="P339" i="193"/>
  <c r="O339" i="193"/>
  <c r="N339" i="193"/>
  <c r="M339" i="193"/>
  <c r="L339" i="193"/>
  <c r="K339" i="193"/>
  <c r="J339" i="193"/>
  <c r="I339" i="193"/>
  <c r="H339" i="193"/>
  <c r="G339" i="193"/>
  <c r="P338" i="193"/>
  <c r="O338" i="193"/>
  <c r="N338" i="193"/>
  <c r="M338" i="193"/>
  <c r="L338" i="193"/>
  <c r="K338" i="193"/>
  <c r="J338" i="193"/>
  <c r="I338" i="193"/>
  <c r="H338" i="193"/>
  <c r="G338" i="193"/>
  <c r="P337" i="193"/>
  <c r="O337" i="193"/>
  <c r="N337" i="193"/>
  <c r="M337" i="193"/>
  <c r="L337" i="193"/>
  <c r="K337" i="193"/>
  <c r="J337" i="193"/>
  <c r="I337" i="193"/>
  <c r="H337" i="193"/>
  <c r="Q337" i="193" s="1"/>
  <c r="G337" i="193"/>
  <c r="P336" i="193"/>
  <c r="O336" i="193"/>
  <c r="N336" i="193"/>
  <c r="M336" i="193"/>
  <c r="L336" i="193"/>
  <c r="K336" i="193"/>
  <c r="J336" i="193"/>
  <c r="I336" i="193"/>
  <c r="H336" i="193"/>
  <c r="G336" i="193"/>
  <c r="P335" i="193"/>
  <c r="O335" i="193"/>
  <c r="N335" i="193"/>
  <c r="M335" i="193"/>
  <c r="L335" i="193"/>
  <c r="K335" i="193"/>
  <c r="J335" i="193"/>
  <c r="I335" i="193"/>
  <c r="H335" i="193"/>
  <c r="G335" i="193"/>
  <c r="P334" i="193"/>
  <c r="O334" i="193"/>
  <c r="N334" i="193"/>
  <c r="M334" i="193"/>
  <c r="L334" i="193"/>
  <c r="K334" i="193"/>
  <c r="J334" i="193"/>
  <c r="I334" i="193"/>
  <c r="H334" i="193"/>
  <c r="G334" i="193"/>
  <c r="P332" i="193"/>
  <c r="O332" i="193"/>
  <c r="N332" i="193"/>
  <c r="M332" i="193"/>
  <c r="L332" i="193"/>
  <c r="K332" i="193"/>
  <c r="J332" i="193"/>
  <c r="I332" i="193"/>
  <c r="H332" i="193"/>
  <c r="Q332" i="193" s="1"/>
  <c r="G332" i="193"/>
  <c r="P331" i="193"/>
  <c r="O331" i="193"/>
  <c r="N331" i="193"/>
  <c r="M331" i="193"/>
  <c r="L331" i="193"/>
  <c r="K331" i="193"/>
  <c r="J331" i="193"/>
  <c r="I331" i="193"/>
  <c r="H331" i="193"/>
  <c r="G331" i="193"/>
  <c r="P330" i="193"/>
  <c r="O330" i="193"/>
  <c r="N330" i="193"/>
  <c r="M330" i="193"/>
  <c r="L330" i="193"/>
  <c r="K330" i="193"/>
  <c r="J330" i="193"/>
  <c r="I330" i="193"/>
  <c r="H330" i="193"/>
  <c r="G330" i="193"/>
  <c r="P328" i="193"/>
  <c r="O328" i="193"/>
  <c r="N328" i="193"/>
  <c r="M328" i="193"/>
  <c r="L328" i="193"/>
  <c r="K328" i="193"/>
  <c r="J328" i="193"/>
  <c r="I328" i="193"/>
  <c r="H328" i="193"/>
  <c r="G328" i="193"/>
  <c r="P327" i="193"/>
  <c r="O327" i="193"/>
  <c r="N327" i="193"/>
  <c r="M327" i="193"/>
  <c r="L327" i="193"/>
  <c r="K327" i="193"/>
  <c r="J327" i="193"/>
  <c r="I327" i="193"/>
  <c r="H327" i="193"/>
  <c r="G327" i="193"/>
  <c r="P326" i="193"/>
  <c r="O326" i="193"/>
  <c r="N326" i="193"/>
  <c r="M326" i="193"/>
  <c r="L326" i="193"/>
  <c r="K326" i="193"/>
  <c r="J326" i="193"/>
  <c r="I326" i="193"/>
  <c r="H326" i="193"/>
  <c r="G326" i="193"/>
  <c r="P325" i="193"/>
  <c r="O325" i="193"/>
  <c r="N325" i="193"/>
  <c r="M325" i="193"/>
  <c r="L325" i="193"/>
  <c r="K325" i="193"/>
  <c r="J325" i="193"/>
  <c r="I325" i="193"/>
  <c r="H325" i="193"/>
  <c r="G325" i="193"/>
  <c r="P323" i="193"/>
  <c r="O323" i="193"/>
  <c r="N323" i="193"/>
  <c r="M323" i="193"/>
  <c r="L323" i="193"/>
  <c r="K323" i="193"/>
  <c r="J323" i="193"/>
  <c r="I323" i="193"/>
  <c r="H323" i="193"/>
  <c r="G323" i="193"/>
  <c r="P321" i="193"/>
  <c r="O321" i="193"/>
  <c r="N321" i="193"/>
  <c r="M321" i="193"/>
  <c r="L321" i="193"/>
  <c r="K321" i="193"/>
  <c r="J321" i="193"/>
  <c r="I321" i="193"/>
  <c r="H321" i="193"/>
  <c r="G321" i="193"/>
  <c r="P320" i="193"/>
  <c r="O320" i="193"/>
  <c r="N320" i="193"/>
  <c r="M320" i="193"/>
  <c r="L320" i="193"/>
  <c r="K320" i="193"/>
  <c r="J320" i="193"/>
  <c r="I320" i="193"/>
  <c r="H320" i="193"/>
  <c r="G320" i="193"/>
  <c r="P319" i="193"/>
  <c r="O319" i="193"/>
  <c r="N319" i="193"/>
  <c r="M319" i="193"/>
  <c r="L319" i="193"/>
  <c r="K319" i="193"/>
  <c r="J319" i="193"/>
  <c r="I319" i="193"/>
  <c r="H319" i="193"/>
  <c r="G319" i="193"/>
  <c r="P318" i="193"/>
  <c r="O318" i="193"/>
  <c r="N318" i="193"/>
  <c r="M318" i="193"/>
  <c r="L318" i="193"/>
  <c r="K318" i="193"/>
  <c r="J318" i="193"/>
  <c r="I318" i="193"/>
  <c r="H318" i="193"/>
  <c r="G318" i="193"/>
  <c r="P317" i="193"/>
  <c r="O317" i="193"/>
  <c r="N317" i="193"/>
  <c r="M317" i="193"/>
  <c r="L317" i="193"/>
  <c r="K317" i="193"/>
  <c r="J317" i="193"/>
  <c r="I317" i="193"/>
  <c r="H317" i="193"/>
  <c r="Q317" i="193" s="1"/>
  <c r="G317" i="193"/>
  <c r="P316" i="193"/>
  <c r="O316" i="193"/>
  <c r="N316" i="193"/>
  <c r="M316" i="193"/>
  <c r="L316" i="193"/>
  <c r="K316" i="193"/>
  <c r="J316" i="193"/>
  <c r="I316" i="193"/>
  <c r="H316" i="193"/>
  <c r="G316" i="193"/>
  <c r="P315" i="193"/>
  <c r="O315" i="193"/>
  <c r="N315" i="193"/>
  <c r="M315" i="193"/>
  <c r="L315" i="193"/>
  <c r="K315" i="193"/>
  <c r="J315" i="193"/>
  <c r="I315" i="193"/>
  <c r="H315" i="193"/>
  <c r="G315" i="193"/>
  <c r="P314" i="193"/>
  <c r="O314" i="193"/>
  <c r="N314" i="193"/>
  <c r="M314" i="193"/>
  <c r="L314" i="193"/>
  <c r="K314" i="193"/>
  <c r="J314" i="193"/>
  <c r="I314" i="193"/>
  <c r="H314" i="193"/>
  <c r="G314" i="193"/>
  <c r="P313" i="193"/>
  <c r="O313" i="193"/>
  <c r="N313" i="193"/>
  <c r="M313" i="193"/>
  <c r="L313" i="193"/>
  <c r="K313" i="193"/>
  <c r="J313" i="193"/>
  <c r="I313" i="193"/>
  <c r="H313" i="193"/>
  <c r="Q313" i="193" s="1"/>
  <c r="G313" i="193"/>
  <c r="P312" i="193"/>
  <c r="O312" i="193"/>
  <c r="N312" i="193"/>
  <c r="M312" i="193"/>
  <c r="L312" i="193"/>
  <c r="K312" i="193"/>
  <c r="J312" i="193"/>
  <c r="I312" i="193"/>
  <c r="H312" i="193"/>
  <c r="G312" i="193"/>
  <c r="P311" i="193"/>
  <c r="O311" i="193"/>
  <c r="N311" i="193"/>
  <c r="M311" i="193"/>
  <c r="L311" i="193"/>
  <c r="K311" i="193"/>
  <c r="J311" i="193"/>
  <c r="I311" i="193"/>
  <c r="H311" i="193"/>
  <c r="G311" i="193"/>
  <c r="P310" i="193"/>
  <c r="O310" i="193"/>
  <c r="N310" i="193"/>
  <c r="M310" i="193"/>
  <c r="L310" i="193"/>
  <c r="K310" i="193"/>
  <c r="J310" i="193"/>
  <c r="I310" i="193"/>
  <c r="H310" i="193"/>
  <c r="G310" i="193"/>
  <c r="P309" i="193"/>
  <c r="O309" i="193"/>
  <c r="N309" i="193"/>
  <c r="M309" i="193"/>
  <c r="L309" i="193"/>
  <c r="K309" i="193"/>
  <c r="J309" i="193"/>
  <c r="I309" i="193"/>
  <c r="H309" i="193"/>
  <c r="Q309" i="193" s="1"/>
  <c r="G309" i="193"/>
  <c r="P308" i="193"/>
  <c r="O308" i="193"/>
  <c r="N308" i="193"/>
  <c r="M308" i="193"/>
  <c r="L308" i="193"/>
  <c r="K308" i="193"/>
  <c r="J308" i="193"/>
  <c r="I308" i="193"/>
  <c r="H308" i="193"/>
  <c r="G308" i="193"/>
  <c r="P307" i="193"/>
  <c r="O307" i="193"/>
  <c r="N307" i="193"/>
  <c r="M307" i="193"/>
  <c r="L307" i="193"/>
  <c r="K307" i="193"/>
  <c r="J307" i="193"/>
  <c r="I307" i="193"/>
  <c r="H307" i="193"/>
  <c r="G307" i="193"/>
  <c r="P306" i="193"/>
  <c r="O306" i="193"/>
  <c r="N306" i="193"/>
  <c r="M306" i="193"/>
  <c r="L306" i="193"/>
  <c r="K306" i="193"/>
  <c r="J306" i="193"/>
  <c r="I306" i="193"/>
  <c r="H306" i="193"/>
  <c r="G306" i="193"/>
  <c r="P305" i="193"/>
  <c r="O305" i="193"/>
  <c r="N305" i="193"/>
  <c r="M305" i="193"/>
  <c r="L305" i="193"/>
  <c r="K305" i="193"/>
  <c r="J305" i="193"/>
  <c r="I305" i="193"/>
  <c r="H305" i="193"/>
  <c r="G305" i="193"/>
  <c r="P304" i="193"/>
  <c r="O304" i="193"/>
  <c r="N304" i="193"/>
  <c r="M304" i="193"/>
  <c r="L304" i="193"/>
  <c r="K304" i="193"/>
  <c r="J304" i="193"/>
  <c r="I304" i="193"/>
  <c r="H304" i="193"/>
  <c r="G304" i="193"/>
  <c r="P302" i="193"/>
  <c r="O302" i="193"/>
  <c r="N302" i="193"/>
  <c r="M302" i="193"/>
  <c r="L302" i="193"/>
  <c r="K302" i="193"/>
  <c r="J302" i="193"/>
  <c r="I302" i="193"/>
  <c r="H302" i="193"/>
  <c r="G302" i="193"/>
  <c r="P300" i="193"/>
  <c r="O300" i="193"/>
  <c r="N300" i="193"/>
  <c r="M300" i="193"/>
  <c r="L300" i="193"/>
  <c r="K300" i="193"/>
  <c r="J300" i="193"/>
  <c r="I300" i="193"/>
  <c r="H300" i="193"/>
  <c r="G300" i="193"/>
  <c r="P299" i="193"/>
  <c r="O299" i="193"/>
  <c r="N299" i="193"/>
  <c r="M299" i="193"/>
  <c r="L299" i="193"/>
  <c r="K299" i="193"/>
  <c r="J299" i="193"/>
  <c r="I299" i="193"/>
  <c r="H299" i="193"/>
  <c r="Q299" i="193" s="1"/>
  <c r="G299" i="193"/>
  <c r="P298" i="193"/>
  <c r="O298" i="193"/>
  <c r="N298" i="193"/>
  <c r="M298" i="193"/>
  <c r="L298" i="193"/>
  <c r="K298" i="193"/>
  <c r="J298" i="193"/>
  <c r="I298" i="193"/>
  <c r="H298" i="193"/>
  <c r="G298" i="193"/>
  <c r="P297" i="193"/>
  <c r="O297" i="193"/>
  <c r="N297" i="193"/>
  <c r="M297" i="193"/>
  <c r="L297" i="193"/>
  <c r="K297" i="193"/>
  <c r="J297" i="193"/>
  <c r="I297" i="193"/>
  <c r="H297" i="193"/>
  <c r="G297" i="193"/>
  <c r="P296" i="193"/>
  <c r="O296" i="193"/>
  <c r="N296" i="193"/>
  <c r="M296" i="193"/>
  <c r="L296" i="193"/>
  <c r="K296" i="193"/>
  <c r="J296" i="193"/>
  <c r="I296" i="193"/>
  <c r="H296" i="193"/>
  <c r="G296" i="193"/>
  <c r="P295" i="193"/>
  <c r="O295" i="193"/>
  <c r="N295" i="193"/>
  <c r="M295" i="193"/>
  <c r="L295" i="193"/>
  <c r="K295" i="193"/>
  <c r="J295" i="193"/>
  <c r="I295" i="193"/>
  <c r="H295" i="193"/>
  <c r="Q295" i="193" s="1"/>
  <c r="G295" i="193"/>
  <c r="P294" i="193"/>
  <c r="O294" i="193"/>
  <c r="N294" i="193"/>
  <c r="M294" i="193"/>
  <c r="L294" i="193"/>
  <c r="K294" i="193"/>
  <c r="J294" i="193"/>
  <c r="I294" i="193"/>
  <c r="H294" i="193"/>
  <c r="G294" i="193"/>
  <c r="P293" i="193"/>
  <c r="O293" i="193"/>
  <c r="N293" i="193"/>
  <c r="M293" i="193"/>
  <c r="L293" i="193"/>
  <c r="K293" i="193"/>
  <c r="J293" i="193"/>
  <c r="I293" i="193"/>
  <c r="H293" i="193"/>
  <c r="G293" i="193"/>
  <c r="P292" i="193"/>
  <c r="O292" i="193"/>
  <c r="N292" i="193"/>
  <c r="M292" i="193"/>
  <c r="L292" i="193"/>
  <c r="K292" i="193"/>
  <c r="J292" i="193"/>
  <c r="I292" i="193"/>
  <c r="H292" i="193"/>
  <c r="G292" i="193"/>
  <c r="P291" i="193"/>
  <c r="O291" i="193"/>
  <c r="N291" i="193"/>
  <c r="M291" i="193"/>
  <c r="L291" i="193"/>
  <c r="K291" i="193"/>
  <c r="J291" i="193"/>
  <c r="I291" i="193"/>
  <c r="H291" i="193"/>
  <c r="G291" i="193"/>
  <c r="P290" i="193"/>
  <c r="O290" i="193"/>
  <c r="N290" i="193"/>
  <c r="M290" i="193"/>
  <c r="L290" i="193"/>
  <c r="K290" i="193"/>
  <c r="J290" i="193"/>
  <c r="I290" i="193"/>
  <c r="H290" i="193"/>
  <c r="G290" i="193"/>
  <c r="P289" i="193"/>
  <c r="O289" i="193"/>
  <c r="N289" i="193"/>
  <c r="M289" i="193"/>
  <c r="L289" i="193"/>
  <c r="K289" i="193"/>
  <c r="J289" i="193"/>
  <c r="I289" i="193"/>
  <c r="H289" i="193"/>
  <c r="G289" i="193"/>
  <c r="P288" i="193"/>
  <c r="O288" i="193"/>
  <c r="N288" i="193"/>
  <c r="M288" i="193"/>
  <c r="L288" i="193"/>
  <c r="K288" i="193"/>
  <c r="J288" i="193"/>
  <c r="I288" i="193"/>
  <c r="H288" i="193"/>
  <c r="G288" i="193"/>
  <c r="P287" i="193"/>
  <c r="O287" i="193"/>
  <c r="N287" i="193"/>
  <c r="M287" i="193"/>
  <c r="L287" i="193"/>
  <c r="K287" i="193"/>
  <c r="J287" i="193"/>
  <c r="I287" i="193"/>
  <c r="H287" i="193"/>
  <c r="G287" i="193"/>
  <c r="P286" i="193"/>
  <c r="O286" i="193"/>
  <c r="N286" i="193"/>
  <c r="M286" i="193"/>
  <c r="L286" i="193"/>
  <c r="K286" i="193"/>
  <c r="J286" i="193"/>
  <c r="I286" i="193"/>
  <c r="H286" i="193"/>
  <c r="G286" i="193"/>
  <c r="P285" i="193"/>
  <c r="O285" i="193"/>
  <c r="N285" i="193"/>
  <c r="M285" i="193"/>
  <c r="L285" i="193"/>
  <c r="K285" i="193"/>
  <c r="J285" i="193"/>
  <c r="I285" i="193"/>
  <c r="H285" i="193"/>
  <c r="G285" i="193"/>
  <c r="P283" i="193"/>
  <c r="O283" i="193"/>
  <c r="N283" i="193"/>
  <c r="M283" i="193"/>
  <c r="L283" i="193"/>
  <c r="K283" i="193"/>
  <c r="J283" i="193"/>
  <c r="I283" i="193"/>
  <c r="H283" i="193"/>
  <c r="G283" i="193"/>
  <c r="P282" i="193"/>
  <c r="O282" i="193"/>
  <c r="N282" i="193"/>
  <c r="M282" i="193"/>
  <c r="L282" i="193"/>
  <c r="K282" i="193"/>
  <c r="J282" i="193"/>
  <c r="I282" i="193"/>
  <c r="H282" i="193"/>
  <c r="Q282" i="193" s="1"/>
  <c r="G282" i="193"/>
  <c r="P281" i="193"/>
  <c r="O281" i="193"/>
  <c r="N281" i="193"/>
  <c r="M281" i="193"/>
  <c r="L281" i="193"/>
  <c r="K281" i="193"/>
  <c r="J281" i="193"/>
  <c r="I281" i="193"/>
  <c r="H281" i="193"/>
  <c r="G281" i="193"/>
  <c r="P279" i="193"/>
  <c r="O279" i="193"/>
  <c r="N279" i="193"/>
  <c r="M279" i="193"/>
  <c r="L279" i="193"/>
  <c r="K279" i="193"/>
  <c r="J279" i="193"/>
  <c r="I279" i="193"/>
  <c r="H279" i="193"/>
  <c r="G279" i="193"/>
  <c r="P277" i="193"/>
  <c r="O277" i="193"/>
  <c r="N277" i="193"/>
  <c r="M277" i="193"/>
  <c r="L277" i="193"/>
  <c r="K277" i="193"/>
  <c r="J277" i="193"/>
  <c r="I277" i="193"/>
  <c r="H277" i="193"/>
  <c r="G277" i="193"/>
  <c r="P276" i="193"/>
  <c r="O276" i="193"/>
  <c r="N276" i="193"/>
  <c r="M276" i="193"/>
  <c r="L276" i="193"/>
  <c r="K276" i="193"/>
  <c r="J276" i="193"/>
  <c r="I276" i="193"/>
  <c r="H276" i="193"/>
  <c r="Q276" i="193" s="1"/>
  <c r="G276" i="193"/>
  <c r="P275" i="193"/>
  <c r="O275" i="193"/>
  <c r="N275" i="193"/>
  <c r="M275" i="193"/>
  <c r="L275" i="193"/>
  <c r="K275" i="193"/>
  <c r="J275" i="193"/>
  <c r="I275" i="193"/>
  <c r="H275" i="193"/>
  <c r="G275" i="193"/>
  <c r="P274" i="193"/>
  <c r="O274" i="193"/>
  <c r="N274" i="193"/>
  <c r="M274" i="193"/>
  <c r="L274" i="193"/>
  <c r="K274" i="193"/>
  <c r="J274" i="193"/>
  <c r="I274" i="193"/>
  <c r="H274" i="193"/>
  <c r="G274" i="193"/>
  <c r="P273" i="193"/>
  <c r="O273" i="193"/>
  <c r="N273" i="193"/>
  <c r="M273" i="193"/>
  <c r="L273" i="193"/>
  <c r="K273" i="193"/>
  <c r="J273" i="193"/>
  <c r="I273" i="193"/>
  <c r="H273" i="193"/>
  <c r="G273" i="193"/>
  <c r="P272" i="193"/>
  <c r="O272" i="193"/>
  <c r="N272" i="193"/>
  <c r="M272" i="193"/>
  <c r="L272" i="193"/>
  <c r="K272" i="193"/>
  <c r="J272" i="193"/>
  <c r="I272" i="193"/>
  <c r="H272" i="193"/>
  <c r="Q272" i="193" s="1"/>
  <c r="G272" i="193"/>
  <c r="P271" i="193"/>
  <c r="O271" i="193"/>
  <c r="N271" i="193"/>
  <c r="M271" i="193"/>
  <c r="L271" i="193"/>
  <c r="K271" i="193"/>
  <c r="J271" i="193"/>
  <c r="I271" i="193"/>
  <c r="H271" i="193"/>
  <c r="G271" i="193"/>
  <c r="P270" i="193"/>
  <c r="O270" i="193"/>
  <c r="N270" i="193"/>
  <c r="M270" i="193"/>
  <c r="L270" i="193"/>
  <c r="K270" i="193"/>
  <c r="J270" i="193"/>
  <c r="I270" i="193"/>
  <c r="H270" i="193"/>
  <c r="G270" i="193"/>
  <c r="P269" i="193"/>
  <c r="O269" i="193"/>
  <c r="N269" i="193"/>
  <c r="M269" i="193"/>
  <c r="L269" i="193"/>
  <c r="K269" i="193"/>
  <c r="J269" i="193"/>
  <c r="I269" i="193"/>
  <c r="H269" i="193"/>
  <c r="G269" i="193"/>
  <c r="P268" i="193"/>
  <c r="O268" i="193"/>
  <c r="N268" i="193"/>
  <c r="M268" i="193"/>
  <c r="L268" i="193"/>
  <c r="K268" i="193"/>
  <c r="J268" i="193"/>
  <c r="I268" i="193"/>
  <c r="H268" i="193"/>
  <c r="G268" i="193"/>
  <c r="P267" i="193"/>
  <c r="O267" i="193"/>
  <c r="N267" i="193"/>
  <c r="M267" i="193"/>
  <c r="L267" i="193"/>
  <c r="K267" i="193"/>
  <c r="J267" i="193"/>
  <c r="I267" i="193"/>
  <c r="H267" i="193"/>
  <c r="G267" i="193"/>
  <c r="P266" i="193"/>
  <c r="O266" i="193"/>
  <c r="N266" i="193"/>
  <c r="M266" i="193"/>
  <c r="L266" i="193"/>
  <c r="K266" i="193"/>
  <c r="J266" i="193"/>
  <c r="I266" i="193"/>
  <c r="H266" i="193"/>
  <c r="G266" i="193"/>
  <c r="P265" i="193"/>
  <c r="O265" i="193"/>
  <c r="N265" i="193"/>
  <c r="M265" i="193"/>
  <c r="L265" i="193"/>
  <c r="K265" i="193"/>
  <c r="J265" i="193"/>
  <c r="I265" i="193"/>
  <c r="H265" i="193"/>
  <c r="G265" i="193"/>
  <c r="P264" i="193"/>
  <c r="O264" i="193"/>
  <c r="N264" i="193"/>
  <c r="M264" i="193"/>
  <c r="L264" i="193"/>
  <c r="K264" i="193"/>
  <c r="J264" i="193"/>
  <c r="I264" i="193"/>
  <c r="H264" i="193"/>
  <c r="Q264" i="193" s="1"/>
  <c r="G264" i="193"/>
  <c r="P263" i="193"/>
  <c r="O263" i="193"/>
  <c r="N263" i="193"/>
  <c r="M263" i="193"/>
  <c r="L263" i="193"/>
  <c r="K263" i="193"/>
  <c r="J263" i="193"/>
  <c r="I263" i="193"/>
  <c r="H263" i="193"/>
  <c r="G263" i="193"/>
  <c r="P262" i="193"/>
  <c r="O262" i="193"/>
  <c r="N262" i="193"/>
  <c r="M262" i="193"/>
  <c r="L262" i="193"/>
  <c r="K262" i="193"/>
  <c r="J262" i="193"/>
  <c r="I262" i="193"/>
  <c r="H262" i="193"/>
  <c r="G262" i="193"/>
  <c r="P260" i="193"/>
  <c r="O260" i="193"/>
  <c r="N260" i="193"/>
  <c r="M260" i="193"/>
  <c r="L260" i="193"/>
  <c r="K260" i="193"/>
  <c r="J260" i="193"/>
  <c r="I260" i="193"/>
  <c r="H260" i="193"/>
  <c r="G260" i="193"/>
  <c r="P259" i="193"/>
  <c r="O259" i="193"/>
  <c r="N259" i="193"/>
  <c r="M259" i="193"/>
  <c r="L259" i="193"/>
  <c r="K259" i="193"/>
  <c r="J259" i="193"/>
  <c r="I259" i="193"/>
  <c r="H259" i="193"/>
  <c r="Q259" i="193" s="1"/>
  <c r="G259" i="193"/>
  <c r="P258" i="193"/>
  <c r="O258" i="193"/>
  <c r="N258" i="193"/>
  <c r="M258" i="193"/>
  <c r="L258" i="193"/>
  <c r="K258" i="193"/>
  <c r="J258" i="193"/>
  <c r="I258" i="193"/>
  <c r="H258" i="193"/>
  <c r="G258" i="193"/>
  <c r="P257" i="193"/>
  <c r="O257" i="193"/>
  <c r="N257" i="193"/>
  <c r="M257" i="193"/>
  <c r="L257" i="193"/>
  <c r="K257" i="193"/>
  <c r="J257" i="193"/>
  <c r="I257" i="193"/>
  <c r="H257" i="193"/>
  <c r="G257" i="193"/>
  <c r="P256" i="193"/>
  <c r="O256" i="193"/>
  <c r="N256" i="193"/>
  <c r="M256" i="193"/>
  <c r="L256" i="193"/>
  <c r="K256" i="193"/>
  <c r="J256" i="193"/>
  <c r="I256" i="193"/>
  <c r="H256" i="193"/>
  <c r="G256" i="193"/>
  <c r="P255" i="193"/>
  <c r="O255" i="193"/>
  <c r="N255" i="193"/>
  <c r="M255" i="193"/>
  <c r="L255" i="193"/>
  <c r="K255" i="193"/>
  <c r="J255" i="193"/>
  <c r="I255" i="193"/>
  <c r="H255" i="193"/>
  <c r="G255" i="193"/>
  <c r="P254" i="193"/>
  <c r="O254" i="193"/>
  <c r="N254" i="193"/>
  <c r="M254" i="193"/>
  <c r="L254" i="193"/>
  <c r="K254" i="193"/>
  <c r="J254" i="193"/>
  <c r="I254" i="193"/>
  <c r="H254" i="193"/>
  <c r="G254" i="193"/>
  <c r="P253" i="193"/>
  <c r="O253" i="193"/>
  <c r="N253" i="193"/>
  <c r="M253" i="193"/>
  <c r="L253" i="193"/>
  <c r="K253" i="193"/>
  <c r="J253" i="193"/>
  <c r="I253" i="193"/>
  <c r="H253" i="193"/>
  <c r="G253" i="193"/>
  <c r="P252" i="193"/>
  <c r="O252" i="193"/>
  <c r="N252" i="193"/>
  <c r="M252" i="193"/>
  <c r="L252" i="193"/>
  <c r="K252" i="193"/>
  <c r="J252" i="193"/>
  <c r="I252" i="193"/>
  <c r="H252" i="193"/>
  <c r="G252" i="193"/>
  <c r="P251" i="193"/>
  <c r="O251" i="193"/>
  <c r="N251" i="193"/>
  <c r="M251" i="193"/>
  <c r="L251" i="193"/>
  <c r="K251" i="193"/>
  <c r="J251" i="193"/>
  <c r="I251" i="193"/>
  <c r="H251" i="193"/>
  <c r="G251" i="193"/>
  <c r="P250" i="193"/>
  <c r="O250" i="193"/>
  <c r="N250" i="193"/>
  <c r="M250" i="193"/>
  <c r="L250" i="193"/>
  <c r="K250" i="193"/>
  <c r="J250" i="193"/>
  <c r="I250" i="193"/>
  <c r="H250" i="193"/>
  <c r="G250" i="193"/>
  <c r="P249" i="193"/>
  <c r="O249" i="193"/>
  <c r="N249" i="193"/>
  <c r="M249" i="193"/>
  <c r="L249" i="193"/>
  <c r="K249" i="193"/>
  <c r="J249" i="193"/>
  <c r="I249" i="193"/>
  <c r="H249" i="193"/>
  <c r="G249" i="193"/>
  <c r="P248" i="193"/>
  <c r="O248" i="193"/>
  <c r="N248" i="193"/>
  <c r="M248" i="193"/>
  <c r="L248" i="193"/>
  <c r="K248" i="193"/>
  <c r="J248" i="193"/>
  <c r="I248" i="193"/>
  <c r="H248" i="193"/>
  <c r="G248" i="193"/>
  <c r="P247" i="193"/>
  <c r="O247" i="193"/>
  <c r="N247" i="193"/>
  <c r="M247" i="193"/>
  <c r="L247" i="193"/>
  <c r="K247" i="193"/>
  <c r="J247" i="193"/>
  <c r="I247" i="193"/>
  <c r="H247" i="193"/>
  <c r="Q247" i="193" s="1"/>
  <c r="G247" i="193"/>
  <c r="P246" i="193"/>
  <c r="O246" i="193"/>
  <c r="N246" i="193"/>
  <c r="M246" i="193"/>
  <c r="L246" i="193"/>
  <c r="K246" i="193"/>
  <c r="J246" i="193"/>
  <c r="I246" i="193"/>
  <c r="H246" i="193"/>
  <c r="G246" i="193"/>
  <c r="P245" i="193"/>
  <c r="O245" i="193"/>
  <c r="N245" i="193"/>
  <c r="M245" i="193"/>
  <c r="L245" i="193"/>
  <c r="K245" i="193"/>
  <c r="J245" i="193"/>
  <c r="I245" i="193"/>
  <c r="H245" i="193"/>
  <c r="G245" i="193"/>
  <c r="P244" i="193"/>
  <c r="O244" i="193"/>
  <c r="N244" i="193"/>
  <c r="M244" i="193"/>
  <c r="L244" i="193"/>
  <c r="K244" i="193"/>
  <c r="J244" i="193"/>
  <c r="I244" i="193"/>
  <c r="H244" i="193"/>
  <c r="G244" i="193"/>
  <c r="P243" i="193"/>
  <c r="O243" i="193"/>
  <c r="N243" i="193"/>
  <c r="M243" i="193"/>
  <c r="L243" i="193"/>
  <c r="K243" i="193"/>
  <c r="J243" i="193"/>
  <c r="I243" i="193"/>
  <c r="H243" i="193"/>
  <c r="Q243" i="193" s="1"/>
  <c r="G243" i="193"/>
  <c r="P242" i="193"/>
  <c r="O242" i="193"/>
  <c r="N242" i="193"/>
  <c r="M242" i="193"/>
  <c r="L242" i="193"/>
  <c r="K242" i="193"/>
  <c r="J242" i="193"/>
  <c r="I242" i="193"/>
  <c r="H242" i="193"/>
  <c r="G242" i="193"/>
  <c r="P241" i="193"/>
  <c r="O241" i="193"/>
  <c r="N241" i="193"/>
  <c r="M241" i="193"/>
  <c r="L241" i="193"/>
  <c r="K241" i="193"/>
  <c r="J241" i="193"/>
  <c r="I241" i="193"/>
  <c r="H241" i="193"/>
  <c r="G241" i="193"/>
  <c r="P240" i="193"/>
  <c r="O240" i="193"/>
  <c r="N240" i="193"/>
  <c r="M240" i="193"/>
  <c r="L240" i="193"/>
  <c r="K240" i="193"/>
  <c r="J240" i="193"/>
  <c r="I240" i="193"/>
  <c r="H240" i="193"/>
  <c r="G240" i="193"/>
  <c r="P239" i="193"/>
  <c r="O239" i="193"/>
  <c r="N239" i="193"/>
  <c r="M239" i="193"/>
  <c r="L239" i="193"/>
  <c r="K239" i="193"/>
  <c r="J239" i="193"/>
  <c r="I239" i="193"/>
  <c r="H239" i="193"/>
  <c r="G239" i="193"/>
  <c r="P238" i="193"/>
  <c r="O238" i="193"/>
  <c r="N238" i="193"/>
  <c r="M238" i="193"/>
  <c r="L238" i="193"/>
  <c r="K238" i="193"/>
  <c r="J238" i="193"/>
  <c r="I238" i="193"/>
  <c r="Q238" i="193" s="1"/>
  <c r="H238" i="193"/>
  <c r="G238" i="193"/>
  <c r="P237" i="193"/>
  <c r="O237" i="193"/>
  <c r="N237" i="193"/>
  <c r="M237" i="193"/>
  <c r="L237" i="193"/>
  <c r="K237" i="193"/>
  <c r="J237" i="193"/>
  <c r="I237" i="193"/>
  <c r="H237" i="193"/>
  <c r="G237" i="193"/>
  <c r="P236" i="193"/>
  <c r="O236" i="193"/>
  <c r="N236" i="193"/>
  <c r="M236" i="193"/>
  <c r="L236" i="193"/>
  <c r="K236" i="193"/>
  <c r="J236" i="193"/>
  <c r="I236" i="193"/>
  <c r="H236" i="193"/>
  <c r="G236" i="193"/>
  <c r="P235" i="193"/>
  <c r="P347" i="193" s="1"/>
  <c r="O235" i="193"/>
  <c r="O347" i="193" s="1"/>
  <c r="O474" i="193" s="1"/>
  <c r="N235" i="193"/>
  <c r="M235" i="193"/>
  <c r="L235" i="193"/>
  <c r="L347" i="193" s="1"/>
  <c r="L474" i="193" s="1"/>
  <c r="K235" i="193"/>
  <c r="K347" i="193" s="1"/>
  <c r="K474" i="193" s="1"/>
  <c r="J235" i="193"/>
  <c r="J347" i="193" s="1"/>
  <c r="J474" i="193" s="1"/>
  <c r="I235" i="193"/>
  <c r="H235" i="193"/>
  <c r="H347" i="193" s="1"/>
  <c r="G235" i="193"/>
  <c r="P231" i="193"/>
  <c r="O231" i="193"/>
  <c r="N231" i="193"/>
  <c r="M231" i="193"/>
  <c r="L231" i="193"/>
  <c r="K231" i="193"/>
  <c r="J231" i="193"/>
  <c r="I231" i="193"/>
  <c r="H231" i="193"/>
  <c r="G231" i="193"/>
  <c r="P230" i="193"/>
  <c r="O230" i="193"/>
  <c r="N230" i="193"/>
  <c r="M230" i="193"/>
  <c r="L230" i="193"/>
  <c r="K230" i="193"/>
  <c r="J230" i="193"/>
  <c r="I230" i="193"/>
  <c r="H230" i="193"/>
  <c r="G230" i="193"/>
  <c r="P226" i="193"/>
  <c r="O226" i="193"/>
  <c r="N226" i="193"/>
  <c r="M226" i="193"/>
  <c r="L226" i="193"/>
  <c r="K226" i="193"/>
  <c r="J226" i="193"/>
  <c r="I226" i="193"/>
  <c r="Q226" i="193" s="1"/>
  <c r="H226" i="193"/>
  <c r="G226" i="193"/>
  <c r="P225" i="193"/>
  <c r="O225" i="193"/>
  <c r="N225" i="193"/>
  <c r="M225" i="193"/>
  <c r="L225" i="193"/>
  <c r="K225" i="193"/>
  <c r="J225" i="193"/>
  <c r="I225" i="193"/>
  <c r="H225" i="193"/>
  <c r="G225" i="193"/>
  <c r="P224" i="193"/>
  <c r="O224" i="193"/>
  <c r="N224" i="193"/>
  <c r="M224" i="193"/>
  <c r="L224" i="193"/>
  <c r="K224" i="193"/>
  <c r="J224" i="193"/>
  <c r="I224" i="193"/>
  <c r="H224" i="193"/>
  <c r="G224" i="193"/>
  <c r="P223" i="193"/>
  <c r="P227" i="193" s="1"/>
  <c r="P232" i="193" s="1"/>
  <c r="O223" i="193"/>
  <c r="O227" i="193" s="1"/>
  <c r="O232" i="193" s="1"/>
  <c r="N223" i="193"/>
  <c r="N227" i="193" s="1"/>
  <c r="N232" i="193" s="1"/>
  <c r="M223" i="193"/>
  <c r="L223" i="193"/>
  <c r="L227" i="193" s="1"/>
  <c r="K223" i="193"/>
  <c r="K227" i="193" s="1"/>
  <c r="K232" i="193" s="1"/>
  <c r="J223" i="193"/>
  <c r="I223" i="193"/>
  <c r="H223" i="193"/>
  <c r="H227" i="193" s="1"/>
  <c r="H232" i="193" s="1"/>
  <c r="G223" i="193"/>
  <c r="P219" i="193"/>
  <c r="O219" i="193"/>
  <c r="N219" i="193"/>
  <c r="M219" i="193"/>
  <c r="L219" i="193"/>
  <c r="K219" i="193"/>
  <c r="J219" i="193"/>
  <c r="I219" i="193"/>
  <c r="H219" i="193"/>
  <c r="G219" i="193"/>
  <c r="P218" i="193"/>
  <c r="O218" i="193"/>
  <c r="N218" i="193"/>
  <c r="M218" i="193"/>
  <c r="L218" i="193"/>
  <c r="K218" i="193"/>
  <c r="J218" i="193"/>
  <c r="I218" i="193"/>
  <c r="H218" i="193"/>
  <c r="G218" i="193"/>
  <c r="P217" i="193"/>
  <c r="O217" i="193"/>
  <c r="N217" i="193"/>
  <c r="M217" i="193"/>
  <c r="L217" i="193"/>
  <c r="K217" i="193"/>
  <c r="J217" i="193"/>
  <c r="I217" i="193"/>
  <c r="H217" i="193"/>
  <c r="G217" i="193"/>
  <c r="P216" i="193"/>
  <c r="O216" i="193"/>
  <c r="N216" i="193"/>
  <c r="M216" i="193"/>
  <c r="L216" i="193"/>
  <c r="K216" i="193"/>
  <c r="J216" i="193"/>
  <c r="I216" i="193"/>
  <c r="H216" i="193"/>
  <c r="G216" i="193"/>
  <c r="P215" i="193"/>
  <c r="O215" i="193"/>
  <c r="N215" i="193"/>
  <c r="M215" i="193"/>
  <c r="L215" i="193"/>
  <c r="K215" i="193"/>
  <c r="J215" i="193"/>
  <c r="I215" i="193"/>
  <c r="H215" i="193"/>
  <c r="G215" i="193"/>
  <c r="P214" i="193"/>
  <c r="O214" i="193"/>
  <c r="N214" i="193"/>
  <c r="M214" i="193"/>
  <c r="L214" i="193"/>
  <c r="K214" i="193"/>
  <c r="J214" i="193"/>
  <c r="I214" i="193"/>
  <c r="H214" i="193"/>
  <c r="G214" i="193"/>
  <c r="P213" i="193"/>
  <c r="O213" i="193"/>
  <c r="N213" i="193"/>
  <c r="M213" i="193"/>
  <c r="L213" i="193"/>
  <c r="K213" i="193"/>
  <c r="J213" i="193"/>
  <c r="I213" i="193"/>
  <c r="H213" i="193"/>
  <c r="G213" i="193"/>
  <c r="P212" i="193"/>
  <c r="O212" i="193"/>
  <c r="N212" i="193"/>
  <c r="M212" i="193"/>
  <c r="L212" i="193"/>
  <c r="K212" i="193"/>
  <c r="J212" i="193"/>
  <c r="I212" i="193"/>
  <c r="H212" i="193"/>
  <c r="G212" i="193"/>
  <c r="Q212" i="193" s="1"/>
  <c r="P211" i="193"/>
  <c r="O211" i="193"/>
  <c r="N211" i="193"/>
  <c r="M211" i="193"/>
  <c r="L211" i="193"/>
  <c r="K211" i="193"/>
  <c r="J211" i="193"/>
  <c r="I211" i="193"/>
  <c r="H211" i="193"/>
  <c r="G211" i="193"/>
  <c r="P209" i="193"/>
  <c r="O209" i="193"/>
  <c r="N209" i="193"/>
  <c r="M209" i="193"/>
  <c r="L209" i="193"/>
  <c r="K209" i="193"/>
  <c r="J209" i="193"/>
  <c r="I209" i="193"/>
  <c r="H209" i="193"/>
  <c r="G209" i="193"/>
  <c r="Q209" i="193" s="1"/>
  <c r="Q208" i="193"/>
  <c r="P207" i="193"/>
  <c r="O207" i="193"/>
  <c r="N207" i="193"/>
  <c r="M207" i="193"/>
  <c r="L207" i="193"/>
  <c r="K207" i="193"/>
  <c r="J207" i="193"/>
  <c r="I207" i="193"/>
  <c r="H207" i="193"/>
  <c r="G207" i="193"/>
  <c r="P206" i="193"/>
  <c r="O206" i="193"/>
  <c r="N206" i="193"/>
  <c r="M206" i="193"/>
  <c r="L206" i="193"/>
  <c r="K206" i="193"/>
  <c r="J206" i="193"/>
  <c r="I206" i="193"/>
  <c r="H206" i="193"/>
  <c r="G206" i="193"/>
  <c r="P205" i="193"/>
  <c r="O205" i="193"/>
  <c r="N205" i="193"/>
  <c r="M205" i="193"/>
  <c r="L205" i="193"/>
  <c r="K205" i="193"/>
  <c r="J205" i="193"/>
  <c r="I205" i="193"/>
  <c r="H205" i="193"/>
  <c r="G205" i="193"/>
  <c r="P204" i="193"/>
  <c r="O204" i="193"/>
  <c r="N204" i="193"/>
  <c r="M204" i="193"/>
  <c r="L204" i="193"/>
  <c r="K204" i="193"/>
  <c r="J204" i="193"/>
  <c r="I204" i="193"/>
  <c r="H204" i="193"/>
  <c r="G204" i="193"/>
  <c r="P203" i="193"/>
  <c r="O203" i="193"/>
  <c r="N203" i="193"/>
  <c r="M203" i="193"/>
  <c r="L203" i="193"/>
  <c r="K203" i="193"/>
  <c r="J203" i="193"/>
  <c r="I203" i="193"/>
  <c r="H203" i="193"/>
  <c r="G203" i="193"/>
  <c r="P201" i="193"/>
  <c r="O201" i="193"/>
  <c r="N201" i="193"/>
  <c r="M201" i="193"/>
  <c r="L201" i="193"/>
  <c r="K201" i="193"/>
  <c r="J201" i="193"/>
  <c r="I201" i="193"/>
  <c r="H201" i="193"/>
  <c r="G201" i="193"/>
  <c r="P200" i="193"/>
  <c r="O200" i="193"/>
  <c r="N200" i="193"/>
  <c r="M200" i="193"/>
  <c r="L200" i="193"/>
  <c r="K200" i="193"/>
  <c r="J200" i="193"/>
  <c r="I200" i="193"/>
  <c r="H200" i="193"/>
  <c r="G200" i="193"/>
  <c r="P199" i="193"/>
  <c r="O199" i="193"/>
  <c r="N199" i="193"/>
  <c r="M199" i="193"/>
  <c r="L199" i="193"/>
  <c r="K199" i="193"/>
  <c r="J199" i="193"/>
  <c r="I199" i="193"/>
  <c r="H199" i="193"/>
  <c r="G199" i="193"/>
  <c r="P197" i="193"/>
  <c r="O197" i="193"/>
  <c r="N197" i="193"/>
  <c r="M197" i="193"/>
  <c r="L197" i="193"/>
  <c r="K197" i="193"/>
  <c r="J197" i="193"/>
  <c r="I197" i="193"/>
  <c r="H197" i="193"/>
  <c r="G197" i="193"/>
  <c r="P195" i="193"/>
  <c r="O195" i="193"/>
  <c r="N195" i="193"/>
  <c r="M195" i="193"/>
  <c r="L195" i="193"/>
  <c r="Q195" i="193" s="1"/>
  <c r="K195" i="193"/>
  <c r="J195" i="193"/>
  <c r="I195" i="193"/>
  <c r="H195" i="193"/>
  <c r="G195" i="193"/>
  <c r="P194" i="193"/>
  <c r="O194" i="193"/>
  <c r="N194" i="193"/>
  <c r="M194" i="193"/>
  <c r="L194" i="193"/>
  <c r="K194" i="193"/>
  <c r="J194" i="193"/>
  <c r="I194" i="193"/>
  <c r="H194" i="193"/>
  <c r="G194" i="193"/>
  <c r="P193" i="193"/>
  <c r="O193" i="193"/>
  <c r="N193" i="193"/>
  <c r="M193" i="193"/>
  <c r="L193" i="193"/>
  <c r="K193" i="193"/>
  <c r="J193" i="193"/>
  <c r="I193" i="193"/>
  <c r="H193" i="193"/>
  <c r="G193" i="193"/>
  <c r="P192" i="193"/>
  <c r="O192" i="193"/>
  <c r="N192" i="193"/>
  <c r="M192" i="193"/>
  <c r="L192" i="193"/>
  <c r="K192" i="193"/>
  <c r="J192" i="193"/>
  <c r="I192" i="193"/>
  <c r="H192" i="193"/>
  <c r="G192" i="193"/>
  <c r="P191" i="193"/>
  <c r="O191" i="193"/>
  <c r="N191" i="193"/>
  <c r="M191" i="193"/>
  <c r="L191" i="193"/>
  <c r="Q191" i="193" s="1"/>
  <c r="K191" i="193"/>
  <c r="J191" i="193"/>
  <c r="I191" i="193"/>
  <c r="H191" i="193"/>
  <c r="G191" i="193"/>
  <c r="P190" i="193"/>
  <c r="O190" i="193"/>
  <c r="N190" i="193"/>
  <c r="M190" i="193"/>
  <c r="L190" i="193"/>
  <c r="K190" i="193"/>
  <c r="J190" i="193"/>
  <c r="I190" i="193"/>
  <c r="H190" i="193"/>
  <c r="G190" i="193"/>
  <c r="P189" i="193"/>
  <c r="O189" i="193"/>
  <c r="N189" i="193"/>
  <c r="M189" i="193"/>
  <c r="L189" i="193"/>
  <c r="Q189" i="193" s="1"/>
  <c r="K189" i="193"/>
  <c r="J189" i="193"/>
  <c r="I189" i="193"/>
  <c r="H189" i="193"/>
  <c r="G189" i="193"/>
  <c r="P188" i="193"/>
  <c r="O188" i="193"/>
  <c r="N188" i="193"/>
  <c r="M188" i="193"/>
  <c r="L188" i="193"/>
  <c r="K188" i="193"/>
  <c r="J188" i="193"/>
  <c r="I188" i="193"/>
  <c r="H188" i="193"/>
  <c r="G188" i="193"/>
  <c r="P186" i="193"/>
  <c r="O186" i="193"/>
  <c r="N186" i="193"/>
  <c r="M186" i="193"/>
  <c r="L186" i="193"/>
  <c r="K186" i="193"/>
  <c r="J186" i="193"/>
  <c r="I186" i="193"/>
  <c r="H186" i="193"/>
  <c r="Q186" i="193" s="1"/>
  <c r="G186" i="193"/>
  <c r="P185" i="193"/>
  <c r="O185" i="193"/>
  <c r="N185" i="193"/>
  <c r="M185" i="193"/>
  <c r="L185" i="193"/>
  <c r="K185" i="193"/>
  <c r="J185" i="193"/>
  <c r="I185" i="193"/>
  <c r="H185" i="193"/>
  <c r="G185" i="193"/>
  <c r="P184" i="193"/>
  <c r="O184" i="193"/>
  <c r="N184" i="193"/>
  <c r="M184" i="193"/>
  <c r="L184" i="193"/>
  <c r="K184" i="193"/>
  <c r="J184" i="193"/>
  <c r="I184" i="193"/>
  <c r="H184" i="193"/>
  <c r="G184" i="193"/>
  <c r="P183" i="193"/>
  <c r="O183" i="193"/>
  <c r="N183" i="193"/>
  <c r="M183" i="193"/>
  <c r="L183" i="193"/>
  <c r="K183" i="193"/>
  <c r="J183" i="193"/>
  <c r="I183" i="193"/>
  <c r="H183" i="193"/>
  <c r="G183" i="193"/>
  <c r="P182" i="193"/>
  <c r="O182" i="193"/>
  <c r="N182" i="193"/>
  <c r="M182" i="193"/>
  <c r="L182" i="193"/>
  <c r="K182" i="193"/>
  <c r="J182" i="193"/>
  <c r="I182" i="193"/>
  <c r="H182" i="193"/>
  <c r="G182" i="193"/>
  <c r="P181" i="193"/>
  <c r="O181" i="193"/>
  <c r="N181" i="193"/>
  <c r="M181" i="193"/>
  <c r="L181" i="193"/>
  <c r="K181" i="193"/>
  <c r="J181" i="193"/>
  <c r="I181" i="193"/>
  <c r="H181" i="193"/>
  <c r="G181" i="193"/>
  <c r="P180" i="193"/>
  <c r="O180" i="193"/>
  <c r="N180" i="193"/>
  <c r="M180" i="193"/>
  <c r="L180" i="193"/>
  <c r="K180" i="193"/>
  <c r="J180" i="193"/>
  <c r="I180" i="193"/>
  <c r="H180" i="193"/>
  <c r="G180" i="193"/>
  <c r="P179" i="193"/>
  <c r="O179" i="193"/>
  <c r="N179" i="193"/>
  <c r="M179" i="193"/>
  <c r="L179" i="193"/>
  <c r="K179" i="193"/>
  <c r="J179" i="193"/>
  <c r="I179" i="193"/>
  <c r="H179" i="193"/>
  <c r="G179" i="193"/>
  <c r="P178" i="193"/>
  <c r="O178" i="193"/>
  <c r="N178" i="193"/>
  <c r="M178" i="193"/>
  <c r="L178" i="193"/>
  <c r="K178" i="193"/>
  <c r="J178" i="193"/>
  <c r="I178" i="193"/>
  <c r="H178" i="193"/>
  <c r="G178" i="193"/>
  <c r="P177" i="193"/>
  <c r="O177" i="193"/>
  <c r="N177" i="193"/>
  <c r="M177" i="193"/>
  <c r="L177" i="193"/>
  <c r="K177" i="193"/>
  <c r="J177" i="193"/>
  <c r="I177" i="193"/>
  <c r="H177" i="193"/>
  <c r="G177" i="193"/>
  <c r="P176" i="193"/>
  <c r="O176" i="193"/>
  <c r="N176" i="193"/>
  <c r="M176" i="193"/>
  <c r="L176" i="193"/>
  <c r="K176" i="193"/>
  <c r="J176" i="193"/>
  <c r="I176" i="193"/>
  <c r="H176" i="193"/>
  <c r="G176" i="193"/>
  <c r="P175" i="193"/>
  <c r="O175" i="193"/>
  <c r="N175" i="193"/>
  <c r="M175" i="193"/>
  <c r="L175" i="193"/>
  <c r="K175" i="193"/>
  <c r="J175" i="193"/>
  <c r="I175" i="193"/>
  <c r="H175" i="193"/>
  <c r="G175" i="193"/>
  <c r="P170" i="193"/>
  <c r="O170" i="193"/>
  <c r="N170" i="193"/>
  <c r="M170" i="193"/>
  <c r="L170" i="193"/>
  <c r="K170" i="193"/>
  <c r="J170" i="193"/>
  <c r="I170" i="193"/>
  <c r="H170" i="193"/>
  <c r="G170" i="193"/>
  <c r="P169" i="193"/>
  <c r="O169" i="193"/>
  <c r="N169" i="193"/>
  <c r="M169" i="193"/>
  <c r="L169" i="193"/>
  <c r="K169" i="193"/>
  <c r="J169" i="193"/>
  <c r="I169" i="193"/>
  <c r="H169" i="193"/>
  <c r="G169" i="193"/>
  <c r="P168" i="193"/>
  <c r="O168" i="193"/>
  <c r="N168" i="193"/>
  <c r="M168" i="193"/>
  <c r="L168" i="193"/>
  <c r="K168" i="193"/>
  <c r="J168" i="193"/>
  <c r="I168" i="193"/>
  <c r="H168" i="193"/>
  <c r="G168" i="193"/>
  <c r="P166" i="193"/>
  <c r="O166" i="193"/>
  <c r="N166" i="193"/>
  <c r="M166" i="193"/>
  <c r="L166" i="193"/>
  <c r="K166" i="193"/>
  <c r="J166" i="193"/>
  <c r="I166" i="193"/>
  <c r="H166" i="193"/>
  <c r="G166" i="193"/>
  <c r="P165" i="193"/>
  <c r="O165" i="193"/>
  <c r="N165" i="193"/>
  <c r="M165" i="193"/>
  <c r="L165" i="193"/>
  <c r="K165" i="193"/>
  <c r="J165" i="193"/>
  <c r="I165" i="193"/>
  <c r="H165" i="193"/>
  <c r="G165" i="193"/>
  <c r="P164" i="193"/>
  <c r="O164" i="193"/>
  <c r="N164" i="193"/>
  <c r="M164" i="193"/>
  <c r="L164" i="193"/>
  <c r="K164" i="193"/>
  <c r="J164" i="193"/>
  <c r="I164" i="193"/>
  <c r="H164" i="193"/>
  <c r="G164" i="193"/>
  <c r="P163" i="193"/>
  <c r="O163" i="193"/>
  <c r="N163" i="193"/>
  <c r="M163" i="193"/>
  <c r="L163" i="193"/>
  <c r="K163" i="193"/>
  <c r="J163" i="193"/>
  <c r="I163" i="193"/>
  <c r="H163" i="193"/>
  <c r="G163" i="193"/>
  <c r="P162" i="193"/>
  <c r="O162" i="193"/>
  <c r="N162" i="193"/>
  <c r="M162" i="193"/>
  <c r="L162" i="193"/>
  <c r="K162" i="193"/>
  <c r="J162" i="193"/>
  <c r="I162" i="193"/>
  <c r="H162" i="193"/>
  <c r="G162" i="193"/>
  <c r="P161" i="193"/>
  <c r="O161" i="193"/>
  <c r="N161" i="193"/>
  <c r="M161" i="193"/>
  <c r="L161" i="193"/>
  <c r="K161" i="193"/>
  <c r="J161" i="193"/>
  <c r="I161" i="193"/>
  <c r="H161" i="193"/>
  <c r="G161" i="193"/>
  <c r="P160" i="193"/>
  <c r="O160" i="193"/>
  <c r="N160" i="193"/>
  <c r="M160" i="193"/>
  <c r="L160" i="193"/>
  <c r="K160" i="193"/>
  <c r="J160" i="193"/>
  <c r="I160" i="193"/>
  <c r="H160" i="193"/>
  <c r="G160" i="193"/>
  <c r="P159" i="193"/>
  <c r="O159" i="193"/>
  <c r="N159" i="193"/>
  <c r="M159" i="193"/>
  <c r="L159" i="193"/>
  <c r="K159" i="193"/>
  <c r="J159" i="193"/>
  <c r="I159" i="193"/>
  <c r="H159" i="193"/>
  <c r="G159" i="193"/>
  <c r="P158" i="193"/>
  <c r="O158" i="193"/>
  <c r="N158" i="193"/>
  <c r="M158" i="193"/>
  <c r="L158" i="193"/>
  <c r="K158" i="193"/>
  <c r="J158" i="193"/>
  <c r="I158" i="193"/>
  <c r="H158" i="193"/>
  <c r="G158" i="193"/>
  <c r="P157" i="193"/>
  <c r="O157" i="193"/>
  <c r="N157" i="193"/>
  <c r="M157" i="193"/>
  <c r="L157" i="193"/>
  <c r="K157" i="193"/>
  <c r="J157" i="193"/>
  <c r="I157" i="193"/>
  <c r="H157" i="193"/>
  <c r="G157" i="193"/>
  <c r="P156" i="193"/>
  <c r="O156" i="193"/>
  <c r="N156" i="193"/>
  <c r="M156" i="193"/>
  <c r="L156" i="193"/>
  <c r="K156" i="193"/>
  <c r="J156" i="193"/>
  <c r="I156" i="193"/>
  <c r="H156" i="193"/>
  <c r="G156" i="193"/>
  <c r="P155" i="193"/>
  <c r="O155" i="193"/>
  <c r="N155" i="193"/>
  <c r="M155" i="193"/>
  <c r="L155" i="193"/>
  <c r="K155" i="193"/>
  <c r="J155" i="193"/>
  <c r="I155" i="193"/>
  <c r="H155" i="193"/>
  <c r="G155" i="193"/>
  <c r="P154" i="193"/>
  <c r="O154" i="193"/>
  <c r="N154" i="193"/>
  <c r="M154" i="193"/>
  <c r="L154" i="193"/>
  <c r="K154" i="193"/>
  <c r="J154" i="193"/>
  <c r="I154" i="193"/>
  <c r="H154" i="193"/>
  <c r="G154" i="193"/>
  <c r="P153" i="193"/>
  <c r="O153" i="193"/>
  <c r="N153" i="193"/>
  <c r="M153" i="193"/>
  <c r="L153" i="193"/>
  <c r="K153" i="193"/>
  <c r="J153" i="193"/>
  <c r="I153" i="193"/>
  <c r="H153" i="193"/>
  <c r="Q153" i="193" s="1"/>
  <c r="G153" i="193"/>
  <c r="P152" i="193"/>
  <c r="O152" i="193"/>
  <c r="N152" i="193"/>
  <c r="M152" i="193"/>
  <c r="L152" i="193"/>
  <c r="K152" i="193"/>
  <c r="J152" i="193"/>
  <c r="I152" i="193"/>
  <c r="H152" i="193"/>
  <c r="G152" i="193"/>
  <c r="P151" i="193"/>
  <c r="O151" i="193"/>
  <c r="N151" i="193"/>
  <c r="M151" i="193"/>
  <c r="L151" i="193"/>
  <c r="K151" i="193"/>
  <c r="J151" i="193"/>
  <c r="I151" i="193"/>
  <c r="H151" i="193"/>
  <c r="G151" i="193"/>
  <c r="P150" i="193"/>
  <c r="O150" i="193"/>
  <c r="N150" i="193"/>
  <c r="M150" i="193"/>
  <c r="L150" i="193"/>
  <c r="K150" i="193"/>
  <c r="J150" i="193"/>
  <c r="I150" i="193"/>
  <c r="H150" i="193"/>
  <c r="G150" i="193"/>
  <c r="P149" i="193"/>
  <c r="O149" i="193"/>
  <c r="N149" i="193"/>
  <c r="M149" i="193"/>
  <c r="L149" i="193"/>
  <c r="K149" i="193"/>
  <c r="J149" i="193"/>
  <c r="I149" i="193"/>
  <c r="H149" i="193"/>
  <c r="G149" i="193"/>
  <c r="P148" i="193"/>
  <c r="O148" i="193"/>
  <c r="N148" i="193"/>
  <c r="M148" i="193"/>
  <c r="L148" i="193"/>
  <c r="K148" i="193"/>
  <c r="J148" i="193"/>
  <c r="I148" i="193"/>
  <c r="H148" i="193"/>
  <c r="G148" i="193"/>
  <c r="P147" i="193"/>
  <c r="O147" i="193"/>
  <c r="N147" i="193"/>
  <c r="M147" i="193"/>
  <c r="L147" i="193"/>
  <c r="K147" i="193"/>
  <c r="J147" i="193"/>
  <c r="I147" i="193"/>
  <c r="H147" i="193"/>
  <c r="G147" i="193"/>
  <c r="P146" i="193"/>
  <c r="O146" i="193"/>
  <c r="N146" i="193"/>
  <c r="M146" i="193"/>
  <c r="L146" i="193"/>
  <c r="K146" i="193"/>
  <c r="J146" i="193"/>
  <c r="I146" i="193"/>
  <c r="H146" i="193"/>
  <c r="G146" i="193"/>
  <c r="P145" i="193"/>
  <c r="O145" i="193"/>
  <c r="N145" i="193"/>
  <c r="M145" i="193"/>
  <c r="L145" i="193"/>
  <c r="K145" i="193"/>
  <c r="J145" i="193"/>
  <c r="I145" i="193"/>
  <c r="H145" i="193"/>
  <c r="G145" i="193"/>
  <c r="P144" i="193"/>
  <c r="O144" i="193"/>
  <c r="N144" i="193"/>
  <c r="M144" i="193"/>
  <c r="L144" i="193"/>
  <c r="K144" i="193"/>
  <c r="J144" i="193"/>
  <c r="I144" i="193"/>
  <c r="H144" i="193"/>
  <c r="G144" i="193"/>
  <c r="P143" i="193"/>
  <c r="O143" i="193"/>
  <c r="N143" i="193"/>
  <c r="M143" i="193"/>
  <c r="L143" i="193"/>
  <c r="K143" i="193"/>
  <c r="J143" i="193"/>
  <c r="I143" i="193"/>
  <c r="H143" i="193"/>
  <c r="G143" i="193"/>
  <c r="P142" i="193"/>
  <c r="O142" i="193"/>
  <c r="N142" i="193"/>
  <c r="M142" i="193"/>
  <c r="L142" i="193"/>
  <c r="K142" i="193"/>
  <c r="J142" i="193"/>
  <c r="I142" i="193"/>
  <c r="H142" i="193"/>
  <c r="G142" i="193"/>
  <c r="P141" i="193"/>
  <c r="O141" i="193"/>
  <c r="N141" i="193"/>
  <c r="M141" i="193"/>
  <c r="L141" i="193"/>
  <c r="K141" i="193"/>
  <c r="J141" i="193"/>
  <c r="I141" i="193"/>
  <c r="H141" i="193"/>
  <c r="G141" i="193"/>
  <c r="P140" i="193"/>
  <c r="O140" i="193"/>
  <c r="N140" i="193"/>
  <c r="M140" i="193"/>
  <c r="L140" i="193"/>
  <c r="K140" i="193"/>
  <c r="J140" i="193"/>
  <c r="I140" i="193"/>
  <c r="H140" i="193"/>
  <c r="G140" i="193"/>
  <c r="P139" i="193"/>
  <c r="O139" i="193"/>
  <c r="N139" i="193"/>
  <c r="M139" i="193"/>
  <c r="L139" i="193"/>
  <c r="K139" i="193"/>
  <c r="J139" i="193"/>
  <c r="I139" i="193"/>
  <c r="H139" i="193"/>
  <c r="G139" i="193"/>
  <c r="P138" i="193"/>
  <c r="O138" i="193"/>
  <c r="N138" i="193"/>
  <c r="M138" i="193"/>
  <c r="L138" i="193"/>
  <c r="K138" i="193"/>
  <c r="J138" i="193"/>
  <c r="I138" i="193"/>
  <c r="H138" i="193"/>
  <c r="G138" i="193"/>
  <c r="P136" i="193"/>
  <c r="O136" i="193"/>
  <c r="N136" i="193"/>
  <c r="M136" i="193"/>
  <c r="L136" i="193"/>
  <c r="K136" i="193"/>
  <c r="J136" i="193"/>
  <c r="I136" i="193"/>
  <c r="H136" i="193"/>
  <c r="G136" i="193"/>
  <c r="P135" i="193"/>
  <c r="O135" i="193"/>
  <c r="N135" i="193"/>
  <c r="M135" i="193"/>
  <c r="L135" i="193"/>
  <c r="K135" i="193"/>
  <c r="J135" i="193"/>
  <c r="I135" i="193"/>
  <c r="H135" i="193"/>
  <c r="G135" i="193"/>
  <c r="P134" i="193"/>
  <c r="O134" i="193"/>
  <c r="N134" i="193"/>
  <c r="M134" i="193"/>
  <c r="L134" i="193"/>
  <c r="K134" i="193"/>
  <c r="J134" i="193"/>
  <c r="I134" i="193"/>
  <c r="H134" i="193"/>
  <c r="G134" i="193"/>
  <c r="P133" i="193"/>
  <c r="O133" i="193"/>
  <c r="N133" i="193"/>
  <c r="M133" i="193"/>
  <c r="L133" i="193"/>
  <c r="K133" i="193"/>
  <c r="J133" i="193"/>
  <c r="I133" i="193"/>
  <c r="H133" i="193"/>
  <c r="G133" i="193"/>
  <c r="P132" i="193"/>
  <c r="O132" i="193"/>
  <c r="N132" i="193"/>
  <c r="M132" i="193"/>
  <c r="L132" i="193"/>
  <c r="K132" i="193"/>
  <c r="J132" i="193"/>
  <c r="I132" i="193"/>
  <c r="H132" i="193"/>
  <c r="G132" i="193"/>
  <c r="P131" i="193"/>
  <c r="O131" i="193"/>
  <c r="N131" i="193"/>
  <c r="M131" i="193"/>
  <c r="L131" i="193"/>
  <c r="K131" i="193"/>
  <c r="J131" i="193"/>
  <c r="I131" i="193"/>
  <c r="H131" i="193"/>
  <c r="G131" i="193"/>
  <c r="P130" i="193"/>
  <c r="O130" i="193"/>
  <c r="N130" i="193"/>
  <c r="M130" i="193"/>
  <c r="L130" i="193"/>
  <c r="K130" i="193"/>
  <c r="J130" i="193"/>
  <c r="I130" i="193"/>
  <c r="H130" i="193"/>
  <c r="G130" i="193"/>
  <c r="P129" i="193"/>
  <c r="O129" i="193"/>
  <c r="N129" i="193"/>
  <c r="M129" i="193"/>
  <c r="L129" i="193"/>
  <c r="K129" i="193"/>
  <c r="J129" i="193"/>
  <c r="I129" i="193"/>
  <c r="H129" i="193"/>
  <c r="G129" i="193"/>
  <c r="P128" i="193"/>
  <c r="O128" i="193"/>
  <c r="N128" i="193"/>
  <c r="M128" i="193"/>
  <c r="L128" i="193"/>
  <c r="K128" i="193"/>
  <c r="J128" i="193"/>
  <c r="I128" i="193"/>
  <c r="H128" i="193"/>
  <c r="G128" i="193"/>
  <c r="P126" i="193"/>
  <c r="O126" i="193"/>
  <c r="N126" i="193"/>
  <c r="M126" i="193"/>
  <c r="L126" i="193"/>
  <c r="K126" i="193"/>
  <c r="J126" i="193"/>
  <c r="I126" i="193"/>
  <c r="H126" i="193"/>
  <c r="G126" i="193"/>
  <c r="P125" i="193"/>
  <c r="O125" i="193"/>
  <c r="N125" i="193"/>
  <c r="M125" i="193"/>
  <c r="L125" i="193"/>
  <c r="K125" i="193"/>
  <c r="J125" i="193"/>
  <c r="I125" i="193"/>
  <c r="H125" i="193"/>
  <c r="G125" i="193"/>
  <c r="P124" i="193"/>
  <c r="O124" i="193"/>
  <c r="N124" i="193"/>
  <c r="M124" i="193"/>
  <c r="L124" i="193"/>
  <c r="K124" i="193"/>
  <c r="J124" i="193"/>
  <c r="I124" i="193"/>
  <c r="H124" i="193"/>
  <c r="G124" i="193"/>
  <c r="P123" i="193"/>
  <c r="O123" i="193"/>
  <c r="N123" i="193"/>
  <c r="M123" i="193"/>
  <c r="L123" i="193"/>
  <c r="K123" i="193"/>
  <c r="J123" i="193"/>
  <c r="I123" i="193"/>
  <c r="H123" i="193"/>
  <c r="G123" i="193"/>
  <c r="P121" i="193"/>
  <c r="O121" i="193"/>
  <c r="N121" i="193"/>
  <c r="M121" i="193"/>
  <c r="L121" i="193"/>
  <c r="K121" i="193"/>
  <c r="J121" i="193"/>
  <c r="I121" i="193"/>
  <c r="H121" i="193"/>
  <c r="G121" i="193"/>
  <c r="P120" i="193"/>
  <c r="O120" i="193"/>
  <c r="N120" i="193"/>
  <c r="M120" i="193"/>
  <c r="L120" i="193"/>
  <c r="K120" i="193"/>
  <c r="J120" i="193"/>
  <c r="I120" i="193"/>
  <c r="H120" i="193"/>
  <c r="G120" i="193"/>
  <c r="P119" i="193"/>
  <c r="O119" i="193"/>
  <c r="N119" i="193"/>
  <c r="M119" i="193"/>
  <c r="L119" i="193"/>
  <c r="K119" i="193"/>
  <c r="J119" i="193"/>
  <c r="I119" i="193"/>
  <c r="H119" i="193"/>
  <c r="G119" i="193"/>
  <c r="P116" i="193"/>
  <c r="O116" i="193"/>
  <c r="N116" i="193"/>
  <c r="M116" i="193"/>
  <c r="L116" i="193"/>
  <c r="K116" i="193"/>
  <c r="J116" i="193"/>
  <c r="I116" i="193"/>
  <c r="H116" i="193"/>
  <c r="Q116" i="193" s="1"/>
  <c r="G116" i="193"/>
  <c r="P114" i="193"/>
  <c r="O114" i="193"/>
  <c r="N114" i="193"/>
  <c r="M114" i="193"/>
  <c r="L114" i="193"/>
  <c r="K114" i="193"/>
  <c r="J114" i="193"/>
  <c r="I114" i="193"/>
  <c r="H114" i="193"/>
  <c r="G114" i="193"/>
  <c r="P112" i="193"/>
  <c r="O112" i="193"/>
  <c r="N112" i="193"/>
  <c r="M112" i="193"/>
  <c r="L112" i="193"/>
  <c r="K112" i="193"/>
  <c r="J112" i="193"/>
  <c r="I112" i="193"/>
  <c r="H112" i="193"/>
  <c r="G112" i="193"/>
  <c r="P111" i="193"/>
  <c r="O111" i="193"/>
  <c r="N111" i="193"/>
  <c r="M111" i="193"/>
  <c r="L111" i="193"/>
  <c r="K111" i="193"/>
  <c r="J111" i="193"/>
  <c r="I111" i="193"/>
  <c r="H111" i="193"/>
  <c r="G111" i="193"/>
  <c r="P110" i="193"/>
  <c r="O110" i="193"/>
  <c r="N110" i="193"/>
  <c r="M110" i="193"/>
  <c r="L110" i="193"/>
  <c r="K110" i="193"/>
  <c r="J110" i="193"/>
  <c r="I110" i="193"/>
  <c r="H110" i="193"/>
  <c r="G110" i="193"/>
  <c r="P108" i="193"/>
  <c r="O108" i="193"/>
  <c r="N108" i="193"/>
  <c r="M108" i="193"/>
  <c r="L108" i="193"/>
  <c r="K108" i="193"/>
  <c r="J108" i="193"/>
  <c r="I108" i="193"/>
  <c r="H108" i="193"/>
  <c r="G108" i="193"/>
  <c r="P107" i="193"/>
  <c r="O107" i="193"/>
  <c r="N107" i="193"/>
  <c r="M107" i="193"/>
  <c r="L107" i="193"/>
  <c r="K107" i="193"/>
  <c r="J107" i="193"/>
  <c r="I107" i="193"/>
  <c r="H107" i="193"/>
  <c r="G107" i="193"/>
  <c r="P105" i="193"/>
  <c r="O105" i="193"/>
  <c r="N105" i="193"/>
  <c r="M105" i="193"/>
  <c r="L105" i="193"/>
  <c r="K105" i="193"/>
  <c r="J105" i="193"/>
  <c r="I105" i="193"/>
  <c r="H105" i="193"/>
  <c r="G105" i="193"/>
  <c r="P103" i="193"/>
  <c r="O103" i="193"/>
  <c r="N103" i="193"/>
  <c r="M103" i="193"/>
  <c r="L103" i="193"/>
  <c r="K103" i="193"/>
  <c r="J103" i="193"/>
  <c r="I103" i="193"/>
  <c r="H103" i="193"/>
  <c r="G103" i="193"/>
  <c r="P102" i="193"/>
  <c r="O102" i="193"/>
  <c r="N102" i="193"/>
  <c r="M102" i="193"/>
  <c r="L102" i="193"/>
  <c r="K102" i="193"/>
  <c r="J102" i="193"/>
  <c r="I102" i="193"/>
  <c r="H102" i="193"/>
  <c r="G102" i="193"/>
  <c r="P99" i="193"/>
  <c r="O99" i="193"/>
  <c r="N99" i="193"/>
  <c r="M99" i="193"/>
  <c r="L99" i="193"/>
  <c r="K99" i="193"/>
  <c r="J99" i="193"/>
  <c r="I99" i="193"/>
  <c r="H99" i="193"/>
  <c r="G99" i="193"/>
  <c r="P98" i="193"/>
  <c r="O98" i="193"/>
  <c r="N98" i="193"/>
  <c r="M98" i="193"/>
  <c r="L98" i="193"/>
  <c r="K98" i="193"/>
  <c r="J98" i="193"/>
  <c r="I98" i="193"/>
  <c r="H98" i="193"/>
  <c r="G98" i="193"/>
  <c r="P97" i="193"/>
  <c r="O97" i="193"/>
  <c r="N97" i="193"/>
  <c r="M97" i="193"/>
  <c r="L97" i="193"/>
  <c r="K97" i="193"/>
  <c r="J97" i="193"/>
  <c r="I97" i="193"/>
  <c r="H97" i="193"/>
  <c r="G97" i="193"/>
  <c r="P95" i="193"/>
  <c r="O95" i="193"/>
  <c r="N95" i="193"/>
  <c r="M95" i="193"/>
  <c r="L95" i="193"/>
  <c r="K95" i="193"/>
  <c r="J95" i="193"/>
  <c r="I95" i="193"/>
  <c r="H95" i="193"/>
  <c r="G95" i="193"/>
  <c r="P94" i="193"/>
  <c r="O94" i="193"/>
  <c r="N94" i="193"/>
  <c r="M94" i="193"/>
  <c r="L94" i="193"/>
  <c r="K94" i="193"/>
  <c r="J94" i="193"/>
  <c r="I94" i="193"/>
  <c r="H94" i="193"/>
  <c r="G94" i="193"/>
  <c r="P93" i="193"/>
  <c r="O93" i="193"/>
  <c r="N93" i="193"/>
  <c r="M93" i="193"/>
  <c r="L93" i="193"/>
  <c r="K93" i="193"/>
  <c r="J93" i="193"/>
  <c r="I93" i="193"/>
  <c r="H93" i="193"/>
  <c r="G93" i="193"/>
  <c r="P92" i="193"/>
  <c r="O92" i="193"/>
  <c r="N92" i="193"/>
  <c r="M92" i="193"/>
  <c r="L92" i="193"/>
  <c r="K92" i="193"/>
  <c r="J92" i="193"/>
  <c r="I92" i="193"/>
  <c r="H92" i="193"/>
  <c r="G92" i="193"/>
  <c r="P91" i="193"/>
  <c r="O91" i="193"/>
  <c r="N91" i="193"/>
  <c r="M91" i="193"/>
  <c r="L91" i="193"/>
  <c r="K91" i="193"/>
  <c r="J91" i="193"/>
  <c r="I91" i="193"/>
  <c r="H91" i="193"/>
  <c r="G91" i="193"/>
  <c r="P90" i="193"/>
  <c r="O90" i="193"/>
  <c r="N90" i="193"/>
  <c r="M90" i="193"/>
  <c r="L90" i="193"/>
  <c r="K90" i="193"/>
  <c r="J90" i="193"/>
  <c r="I90" i="193"/>
  <c r="H90" i="193"/>
  <c r="G90" i="193"/>
  <c r="P89" i="193"/>
  <c r="O89" i="193"/>
  <c r="N89" i="193"/>
  <c r="M89" i="193"/>
  <c r="L89" i="193"/>
  <c r="K89" i="193"/>
  <c r="J89" i="193"/>
  <c r="I89" i="193"/>
  <c r="H89" i="193"/>
  <c r="G89" i="193"/>
  <c r="P88" i="193"/>
  <c r="O88" i="193"/>
  <c r="N88" i="193"/>
  <c r="M88" i="193"/>
  <c r="L88" i="193"/>
  <c r="K88" i="193"/>
  <c r="J88" i="193"/>
  <c r="I88" i="193"/>
  <c r="H88" i="193"/>
  <c r="G88" i="193"/>
  <c r="P87" i="193"/>
  <c r="O87" i="193"/>
  <c r="N87" i="193"/>
  <c r="M87" i="193"/>
  <c r="L87" i="193"/>
  <c r="K87" i="193"/>
  <c r="J87" i="193"/>
  <c r="I87" i="193"/>
  <c r="H87" i="193"/>
  <c r="G87" i="193"/>
  <c r="P85" i="193"/>
  <c r="O85" i="193"/>
  <c r="N85" i="193"/>
  <c r="M85" i="193"/>
  <c r="L85" i="193"/>
  <c r="K85" i="193"/>
  <c r="J85" i="193"/>
  <c r="I85" i="193"/>
  <c r="H85" i="193"/>
  <c r="G85" i="193"/>
  <c r="P84" i="193"/>
  <c r="O84" i="193"/>
  <c r="N84" i="193"/>
  <c r="M84" i="193"/>
  <c r="L84" i="193"/>
  <c r="K84" i="193"/>
  <c r="J84" i="193"/>
  <c r="I84" i="193"/>
  <c r="H84" i="193"/>
  <c r="G84" i="193"/>
  <c r="P83" i="193"/>
  <c r="O83" i="193"/>
  <c r="N83" i="193"/>
  <c r="M83" i="193"/>
  <c r="L83" i="193"/>
  <c r="K83" i="193"/>
  <c r="J83" i="193"/>
  <c r="I83" i="193"/>
  <c r="H83" i="193"/>
  <c r="G83" i="193"/>
  <c r="P82" i="193"/>
  <c r="O82" i="193"/>
  <c r="N82" i="193"/>
  <c r="M82" i="193"/>
  <c r="L82" i="193"/>
  <c r="K82" i="193"/>
  <c r="J82" i="193"/>
  <c r="I82" i="193"/>
  <c r="H82" i="193"/>
  <c r="G82" i="193"/>
  <c r="P81" i="193"/>
  <c r="O81" i="193"/>
  <c r="N81" i="193"/>
  <c r="M81" i="193"/>
  <c r="L81" i="193"/>
  <c r="K81" i="193"/>
  <c r="J81" i="193"/>
  <c r="I81" i="193"/>
  <c r="H81" i="193"/>
  <c r="G81" i="193"/>
  <c r="P80" i="193"/>
  <c r="O80" i="193"/>
  <c r="N80" i="193"/>
  <c r="M80" i="193"/>
  <c r="L80" i="193"/>
  <c r="K80" i="193"/>
  <c r="J80" i="193"/>
  <c r="I80" i="193"/>
  <c r="H80" i="193"/>
  <c r="G80" i="193"/>
  <c r="P79" i="193"/>
  <c r="O79" i="193"/>
  <c r="N79" i="193"/>
  <c r="M79" i="193"/>
  <c r="L79" i="193"/>
  <c r="K79" i="193"/>
  <c r="J79" i="193"/>
  <c r="I79" i="193"/>
  <c r="H79" i="193"/>
  <c r="G79" i="193"/>
  <c r="P78" i="193"/>
  <c r="O78" i="193"/>
  <c r="N78" i="193"/>
  <c r="M78" i="193"/>
  <c r="L78" i="193"/>
  <c r="K78" i="193"/>
  <c r="J78" i="193"/>
  <c r="I78" i="193"/>
  <c r="H78" i="193"/>
  <c r="G78" i="193"/>
  <c r="P77" i="193"/>
  <c r="O77" i="193"/>
  <c r="N77" i="193"/>
  <c r="M77" i="193"/>
  <c r="L77" i="193"/>
  <c r="K77" i="193"/>
  <c r="J77" i="193"/>
  <c r="I77" i="193"/>
  <c r="H77" i="193"/>
  <c r="G77" i="193"/>
  <c r="P76" i="193"/>
  <c r="O76" i="193"/>
  <c r="N76" i="193"/>
  <c r="M76" i="193"/>
  <c r="L76" i="193"/>
  <c r="K76" i="193"/>
  <c r="J76" i="193"/>
  <c r="I76" i="193"/>
  <c r="H76" i="193"/>
  <c r="G76" i="193"/>
  <c r="P75" i="193"/>
  <c r="O75" i="193"/>
  <c r="N75" i="193"/>
  <c r="M75" i="193"/>
  <c r="L75" i="193"/>
  <c r="K75" i="193"/>
  <c r="J75" i="193"/>
  <c r="I75" i="193"/>
  <c r="H75" i="193"/>
  <c r="Q75" i="193" s="1"/>
  <c r="G75" i="193"/>
  <c r="P74" i="193"/>
  <c r="O74" i="193"/>
  <c r="N74" i="193"/>
  <c r="M74" i="193"/>
  <c r="L74" i="193"/>
  <c r="K74" i="193"/>
  <c r="J74" i="193"/>
  <c r="I74" i="193"/>
  <c r="H74" i="193"/>
  <c r="G74" i="193"/>
  <c r="P73" i="193"/>
  <c r="O73" i="193"/>
  <c r="N73" i="193"/>
  <c r="M73" i="193"/>
  <c r="L73" i="193"/>
  <c r="K73" i="193"/>
  <c r="J73" i="193"/>
  <c r="I73" i="193"/>
  <c r="H73" i="193"/>
  <c r="G73" i="193"/>
  <c r="P72" i="193"/>
  <c r="O72" i="193"/>
  <c r="N72" i="193"/>
  <c r="M72" i="193"/>
  <c r="L72" i="193"/>
  <c r="K72" i="193"/>
  <c r="J72" i="193"/>
  <c r="I72" i="193"/>
  <c r="H72" i="193"/>
  <c r="G72" i="193"/>
  <c r="P71" i="193"/>
  <c r="O71" i="193"/>
  <c r="N71" i="193"/>
  <c r="M71" i="193"/>
  <c r="L71" i="193"/>
  <c r="K71" i="193"/>
  <c r="J71" i="193"/>
  <c r="I71" i="193"/>
  <c r="H71" i="193"/>
  <c r="G71" i="193"/>
  <c r="P70" i="193"/>
  <c r="O70" i="193"/>
  <c r="N70" i="193"/>
  <c r="M70" i="193"/>
  <c r="L70" i="193"/>
  <c r="K70" i="193"/>
  <c r="J70" i="193"/>
  <c r="I70" i="193"/>
  <c r="H70" i="193"/>
  <c r="G70" i="193"/>
  <c r="P69" i="193"/>
  <c r="O69" i="193"/>
  <c r="N69" i="193"/>
  <c r="M69" i="193"/>
  <c r="L69" i="193"/>
  <c r="K69" i="193"/>
  <c r="J69" i="193"/>
  <c r="I69" i="193"/>
  <c r="H69" i="193"/>
  <c r="G69" i="193"/>
  <c r="P68" i="193"/>
  <c r="O68" i="193"/>
  <c r="N68" i="193"/>
  <c r="M68" i="193"/>
  <c r="L68" i="193"/>
  <c r="K68" i="193"/>
  <c r="J68" i="193"/>
  <c r="I68" i="193"/>
  <c r="H68" i="193"/>
  <c r="G68" i="193"/>
  <c r="P66" i="193"/>
  <c r="O66" i="193"/>
  <c r="N66" i="193"/>
  <c r="M66" i="193"/>
  <c r="L66" i="193"/>
  <c r="K66" i="193"/>
  <c r="J66" i="193"/>
  <c r="I66" i="193"/>
  <c r="H66" i="193"/>
  <c r="G66" i="193"/>
  <c r="P64" i="193"/>
  <c r="O64" i="193"/>
  <c r="N64" i="193"/>
  <c r="M64" i="193"/>
  <c r="L64" i="193"/>
  <c r="K64" i="193"/>
  <c r="J64" i="193"/>
  <c r="I64" i="193"/>
  <c r="H64" i="193"/>
  <c r="G64" i="193"/>
  <c r="P62" i="193"/>
  <c r="O62" i="193"/>
  <c r="N62" i="193"/>
  <c r="M62" i="193"/>
  <c r="L62" i="193"/>
  <c r="K62" i="193"/>
  <c r="J62" i="193"/>
  <c r="I62" i="193"/>
  <c r="H62" i="193"/>
  <c r="G62" i="193"/>
  <c r="P61" i="193"/>
  <c r="O61" i="193"/>
  <c r="N61" i="193"/>
  <c r="M61" i="193"/>
  <c r="L61" i="193"/>
  <c r="K61" i="193"/>
  <c r="J61" i="193"/>
  <c r="I61" i="193"/>
  <c r="H61" i="193"/>
  <c r="G61" i="193"/>
  <c r="P60" i="193"/>
  <c r="O60" i="193"/>
  <c r="N60" i="193"/>
  <c r="M60" i="193"/>
  <c r="L60" i="193"/>
  <c r="K60" i="193"/>
  <c r="J60" i="193"/>
  <c r="I60" i="193"/>
  <c r="H60" i="193"/>
  <c r="G60" i="193"/>
  <c r="P59" i="193"/>
  <c r="O59" i="193"/>
  <c r="N59" i="193"/>
  <c r="M59" i="193"/>
  <c r="L59" i="193"/>
  <c r="K59" i="193"/>
  <c r="J59" i="193"/>
  <c r="I59" i="193"/>
  <c r="H59" i="193"/>
  <c r="G59" i="193"/>
  <c r="P58" i="193"/>
  <c r="O58" i="193"/>
  <c r="N58" i="193"/>
  <c r="M58" i="193"/>
  <c r="L58" i="193"/>
  <c r="K58" i="193"/>
  <c r="J58" i="193"/>
  <c r="I58" i="193"/>
  <c r="H58" i="193"/>
  <c r="G58" i="193"/>
  <c r="P57" i="193"/>
  <c r="O57" i="193"/>
  <c r="N57" i="193"/>
  <c r="M57" i="193"/>
  <c r="L57" i="193"/>
  <c r="K57" i="193"/>
  <c r="J57" i="193"/>
  <c r="I57" i="193"/>
  <c r="H57" i="193"/>
  <c r="G57" i="193"/>
  <c r="P54" i="193"/>
  <c r="O54" i="193"/>
  <c r="N54" i="193"/>
  <c r="M54" i="193"/>
  <c r="L54" i="193"/>
  <c r="K54" i="193"/>
  <c r="J54" i="193"/>
  <c r="I54" i="193"/>
  <c r="H54" i="193"/>
  <c r="G54" i="193"/>
  <c r="P53" i="193"/>
  <c r="O53" i="193"/>
  <c r="N53" i="193"/>
  <c r="M53" i="193"/>
  <c r="L53" i="193"/>
  <c r="K53" i="193"/>
  <c r="J53" i="193"/>
  <c r="I53" i="193"/>
  <c r="H53" i="193"/>
  <c r="G53" i="193"/>
  <c r="P52" i="193"/>
  <c r="O52" i="193"/>
  <c r="N52" i="193"/>
  <c r="M52" i="193"/>
  <c r="L52" i="193"/>
  <c r="K52" i="193"/>
  <c r="J52" i="193"/>
  <c r="I52" i="193"/>
  <c r="H52" i="193"/>
  <c r="G52" i="193"/>
  <c r="P51" i="193"/>
  <c r="O51" i="193"/>
  <c r="N51" i="193"/>
  <c r="M51" i="193"/>
  <c r="L51" i="193"/>
  <c r="K51" i="193"/>
  <c r="J51" i="193"/>
  <c r="I51" i="193"/>
  <c r="H51" i="193"/>
  <c r="G51" i="193"/>
  <c r="P50" i="193"/>
  <c r="O50" i="193"/>
  <c r="N50" i="193"/>
  <c r="M50" i="193"/>
  <c r="L50" i="193"/>
  <c r="K50" i="193"/>
  <c r="J50" i="193"/>
  <c r="I50" i="193"/>
  <c r="H50" i="193"/>
  <c r="G50" i="193"/>
  <c r="P49" i="193"/>
  <c r="O49" i="193"/>
  <c r="O171" i="193" s="1"/>
  <c r="N49" i="193"/>
  <c r="N171" i="193" s="1"/>
  <c r="N220" i="193" s="1"/>
  <c r="M49" i="193"/>
  <c r="L49" i="193"/>
  <c r="K49" i="193"/>
  <c r="K171" i="193" s="1"/>
  <c r="J49" i="193"/>
  <c r="J171" i="193" s="1"/>
  <c r="J220" i="193" s="1"/>
  <c r="I49" i="193"/>
  <c r="H49" i="193"/>
  <c r="G49" i="193"/>
  <c r="P44" i="193"/>
  <c r="O44" i="193"/>
  <c r="N44" i="193"/>
  <c r="M44" i="193"/>
  <c r="L44" i="193"/>
  <c r="K44" i="193"/>
  <c r="J44" i="193"/>
  <c r="I44" i="193"/>
  <c r="H44" i="193"/>
  <c r="G44" i="193"/>
  <c r="P43" i="193"/>
  <c r="O43" i="193"/>
  <c r="N43" i="193"/>
  <c r="M43" i="193"/>
  <c r="L43" i="193"/>
  <c r="K43" i="193"/>
  <c r="J43" i="193"/>
  <c r="I43" i="193"/>
  <c r="H43" i="193"/>
  <c r="G43" i="193"/>
  <c r="P41" i="193"/>
  <c r="O41" i="193"/>
  <c r="N41" i="193"/>
  <c r="M41" i="193"/>
  <c r="L41" i="193"/>
  <c r="K41" i="193"/>
  <c r="J41" i="193"/>
  <c r="I41" i="193"/>
  <c r="H41" i="193"/>
  <c r="G41" i="193"/>
  <c r="P38" i="193"/>
  <c r="O38" i="193"/>
  <c r="N38" i="193"/>
  <c r="M38" i="193"/>
  <c r="L38" i="193"/>
  <c r="K38" i="193"/>
  <c r="J38" i="193"/>
  <c r="I38" i="193"/>
  <c r="H38" i="193"/>
  <c r="G38" i="193"/>
  <c r="P36" i="193"/>
  <c r="O36" i="193"/>
  <c r="N36" i="193"/>
  <c r="M36" i="193"/>
  <c r="L36" i="193"/>
  <c r="K36" i="193"/>
  <c r="J36" i="193"/>
  <c r="I36" i="193"/>
  <c r="H36" i="193"/>
  <c r="G36" i="193"/>
  <c r="P34" i="193"/>
  <c r="O34" i="193"/>
  <c r="N34" i="193"/>
  <c r="M34" i="193"/>
  <c r="L34" i="193"/>
  <c r="K34" i="193"/>
  <c r="J34" i="193"/>
  <c r="I34" i="193"/>
  <c r="H34" i="193"/>
  <c r="G34" i="193"/>
  <c r="P33" i="193"/>
  <c r="O33" i="193"/>
  <c r="N33" i="193"/>
  <c r="M33" i="193"/>
  <c r="L33" i="193"/>
  <c r="K33" i="193"/>
  <c r="J33" i="193"/>
  <c r="I33" i="193"/>
  <c r="H33" i="193"/>
  <c r="Q33" i="193" s="1"/>
  <c r="G33" i="193"/>
  <c r="P31" i="193"/>
  <c r="O31" i="193"/>
  <c r="N31" i="193"/>
  <c r="M31" i="193"/>
  <c r="L31" i="193"/>
  <c r="K31" i="193"/>
  <c r="J31" i="193"/>
  <c r="I31" i="193"/>
  <c r="H31" i="193"/>
  <c r="G31" i="193"/>
  <c r="P29" i="193"/>
  <c r="O29" i="193"/>
  <c r="N29" i="193"/>
  <c r="M29" i="193"/>
  <c r="L29" i="193"/>
  <c r="K29" i="193"/>
  <c r="J29" i="193"/>
  <c r="I29" i="193"/>
  <c r="H29" i="193"/>
  <c r="G29" i="193"/>
  <c r="P27" i="193"/>
  <c r="O27" i="193"/>
  <c r="N27" i="193"/>
  <c r="M27" i="193"/>
  <c r="L27" i="193"/>
  <c r="K27" i="193"/>
  <c r="J27" i="193"/>
  <c r="I27" i="193"/>
  <c r="H27" i="193"/>
  <c r="G27" i="193"/>
  <c r="P25" i="193"/>
  <c r="O25" i="193"/>
  <c r="N25" i="193"/>
  <c r="M25" i="193"/>
  <c r="L25" i="193"/>
  <c r="K25" i="193"/>
  <c r="J25" i="193"/>
  <c r="I25" i="193"/>
  <c r="H25" i="193"/>
  <c r="Q25" i="193" s="1"/>
  <c r="G25" i="193"/>
  <c r="P24" i="193"/>
  <c r="O24" i="193"/>
  <c r="N24" i="193"/>
  <c r="M24" i="193"/>
  <c r="L24" i="193"/>
  <c r="K24" i="193"/>
  <c r="J24" i="193"/>
  <c r="I24" i="193"/>
  <c r="H24" i="193"/>
  <c r="G24" i="193"/>
  <c r="P23" i="193"/>
  <c r="O23" i="193"/>
  <c r="N23" i="193"/>
  <c r="M23" i="193"/>
  <c r="L23" i="193"/>
  <c r="K23" i="193"/>
  <c r="J23" i="193"/>
  <c r="I23" i="193"/>
  <c r="H23" i="193"/>
  <c r="G23" i="193"/>
  <c r="P21" i="193"/>
  <c r="O21" i="193"/>
  <c r="N21" i="193"/>
  <c r="M21" i="193"/>
  <c r="L21" i="193"/>
  <c r="K21" i="193"/>
  <c r="J21" i="193"/>
  <c r="I21" i="193"/>
  <c r="H21" i="193"/>
  <c r="G21" i="193"/>
  <c r="P19" i="193"/>
  <c r="O19" i="193"/>
  <c r="N19" i="193"/>
  <c r="M19" i="193"/>
  <c r="L19" i="193"/>
  <c r="K19" i="193"/>
  <c r="J19" i="193"/>
  <c r="I19" i="193"/>
  <c r="H19" i="193"/>
  <c r="Q19" i="193" s="1"/>
  <c r="G19" i="193"/>
  <c r="P17" i="193"/>
  <c r="O17" i="193"/>
  <c r="N17" i="193"/>
  <c r="M17" i="193"/>
  <c r="L17" i="193"/>
  <c r="K17" i="193"/>
  <c r="J17" i="193"/>
  <c r="I17" i="193"/>
  <c r="H17" i="193"/>
  <c r="G17" i="193"/>
  <c r="P16" i="193"/>
  <c r="O16" i="193"/>
  <c r="N16" i="193"/>
  <c r="M16" i="193"/>
  <c r="L16" i="193"/>
  <c r="K16" i="193"/>
  <c r="J16" i="193"/>
  <c r="I16" i="193"/>
  <c r="H16" i="193"/>
  <c r="G16" i="193"/>
  <c r="P15" i="193"/>
  <c r="O15" i="193"/>
  <c r="N15" i="193"/>
  <c r="M15" i="193"/>
  <c r="L15" i="193"/>
  <c r="K15" i="193"/>
  <c r="J15" i="193"/>
  <c r="I15" i="193"/>
  <c r="H15" i="193"/>
  <c r="G15" i="193"/>
  <c r="P14" i="193"/>
  <c r="O14" i="193"/>
  <c r="N14" i="193"/>
  <c r="M14" i="193"/>
  <c r="L14" i="193"/>
  <c r="K14" i="193"/>
  <c r="J14" i="193"/>
  <c r="I14" i="193"/>
  <c r="H14" i="193"/>
  <c r="Q14" i="193" s="1"/>
  <c r="G14" i="193"/>
  <c r="P13" i="193"/>
  <c r="O13" i="193"/>
  <c r="N13" i="193"/>
  <c r="M13" i="193"/>
  <c r="L13" i="193"/>
  <c r="K13" i="193"/>
  <c r="J13" i="193"/>
  <c r="I13" i="193"/>
  <c r="H13" i="193"/>
  <c r="G13" i="193"/>
  <c r="P12" i="193"/>
  <c r="O12" i="193"/>
  <c r="N12" i="193"/>
  <c r="M12" i="193"/>
  <c r="L12" i="193"/>
  <c r="K12" i="193"/>
  <c r="J12" i="193"/>
  <c r="I12" i="193"/>
  <c r="H12" i="193"/>
  <c r="G12" i="193"/>
  <c r="P10" i="193"/>
  <c r="O10" i="193"/>
  <c r="N10" i="193"/>
  <c r="M10" i="193"/>
  <c r="L10" i="193"/>
  <c r="K10" i="193"/>
  <c r="J10" i="193"/>
  <c r="I10" i="193"/>
  <c r="H10" i="193"/>
  <c r="G10" i="193"/>
  <c r="P9" i="193"/>
  <c r="O9" i="193"/>
  <c r="N9" i="193"/>
  <c r="M9" i="193"/>
  <c r="L9" i="193"/>
  <c r="K9" i="193"/>
  <c r="J9" i="193"/>
  <c r="I9" i="193"/>
  <c r="H9" i="193"/>
  <c r="H39" i="193" s="1"/>
  <c r="H45" i="193" s="1"/>
  <c r="G9" i="193"/>
  <c r="P7" i="193"/>
  <c r="O7" i="193"/>
  <c r="O39" i="193" s="1"/>
  <c r="O45" i="193" s="1"/>
  <c r="N7" i="193"/>
  <c r="N39" i="193" s="1"/>
  <c r="N45" i="193" s="1"/>
  <c r="M7" i="193"/>
  <c r="L7" i="193"/>
  <c r="K7" i="193"/>
  <c r="K39" i="193" s="1"/>
  <c r="K45" i="193" s="1"/>
  <c r="J7" i="193"/>
  <c r="J39" i="193" s="1"/>
  <c r="J45" i="193" s="1"/>
  <c r="I7" i="193"/>
  <c r="H7" i="193"/>
  <c r="G7" i="193"/>
  <c r="J823" i="193" l="1"/>
  <c r="J825" i="193" s="1"/>
  <c r="N823" i="193"/>
  <c r="N825" i="193" s="1"/>
  <c r="L39" i="193"/>
  <c r="L45" i="193" s="1"/>
  <c r="L823" i="193" s="1"/>
  <c r="L825" i="193" s="1"/>
  <c r="P39" i="193"/>
  <c r="P45" i="193" s="1"/>
  <c r="H171" i="193"/>
  <c r="H220" i="193" s="1"/>
  <c r="H823" i="193" s="1"/>
  <c r="H825" i="193" s="1"/>
  <c r="L171" i="193"/>
  <c r="L220" i="193" s="1"/>
  <c r="P171" i="193"/>
  <c r="P220" i="193" s="1"/>
  <c r="Q61" i="193"/>
  <c r="Q68" i="193"/>
  <c r="Q72" i="193"/>
  <c r="Q84" i="193"/>
  <c r="Q98" i="193"/>
  <c r="Q105" i="193"/>
  <c r="Q111" i="193"/>
  <c r="Q129" i="193"/>
  <c r="Q142" i="193"/>
  <c r="Q146" i="193"/>
  <c r="Q150" i="193"/>
  <c r="Q162" i="193"/>
  <c r="Q200" i="193"/>
  <c r="Q214" i="193"/>
  <c r="Q218" i="193"/>
  <c r="I227" i="193"/>
  <c r="I232" i="193" s="1"/>
  <c r="M227" i="193"/>
  <c r="M232" i="193" s="1"/>
  <c r="Q230" i="193"/>
  <c r="I347" i="193"/>
  <c r="I474" i="193" s="1"/>
  <c r="M347" i="193"/>
  <c r="M474" i="193" s="1"/>
  <c r="Q240" i="193"/>
  <c r="I39" i="193"/>
  <c r="I45" i="193" s="1"/>
  <c r="M39" i="193"/>
  <c r="M45" i="193" s="1"/>
  <c r="Q10" i="193"/>
  <c r="Q15" i="193"/>
  <c r="Q21" i="193"/>
  <c r="Q27" i="193"/>
  <c r="Q34" i="193"/>
  <c r="I171" i="193"/>
  <c r="I220" i="193" s="1"/>
  <c r="M171" i="193"/>
  <c r="M220" i="193" s="1"/>
  <c r="Q50" i="193"/>
  <c r="Q51" i="193"/>
  <c r="Q57" i="193"/>
  <c r="Q58" i="193"/>
  <c r="Q62" i="193"/>
  <c r="Q66" i="193"/>
  <c r="Q71" i="193"/>
  <c r="Q76" i="193"/>
  <c r="Q81" i="193"/>
  <c r="Q83" i="193"/>
  <c r="Q88" i="193"/>
  <c r="Q89" i="193"/>
  <c r="Q93" i="193"/>
  <c r="Q94" i="193"/>
  <c r="Q99" i="193"/>
  <c r="Q103" i="193"/>
  <c r="Q110" i="193"/>
  <c r="Q119" i="193"/>
  <c r="Q125" i="193"/>
  <c r="Q128" i="193"/>
  <c r="Q132" i="193"/>
  <c r="Q133" i="193"/>
  <c r="Q138" i="193"/>
  <c r="Q139" i="193"/>
  <c r="Q143" i="193"/>
  <c r="Q145" i="193"/>
  <c r="Q149" i="193"/>
  <c r="Q154" i="193"/>
  <c r="Q159" i="193"/>
  <c r="Q161" i="193"/>
  <c r="Q165" i="193"/>
  <c r="Q166" i="193"/>
  <c r="Q175" i="193"/>
  <c r="Q179" i="193"/>
  <c r="Q180" i="193"/>
  <c r="Q181" i="193"/>
  <c r="Q184" i="193"/>
  <c r="Q185" i="193"/>
  <c r="Q192" i="193"/>
  <c r="Q197" i="193"/>
  <c r="Q204" i="193"/>
  <c r="Q205" i="193"/>
  <c r="Q213" i="193"/>
  <c r="Q217" i="193"/>
  <c r="Q250" i="193"/>
  <c r="Q267" i="193"/>
  <c r="Q286" i="193"/>
  <c r="Q304" i="193"/>
  <c r="Q320" i="193"/>
  <c r="Q340" i="193"/>
  <c r="Q350" i="193"/>
  <c r="Q354" i="193"/>
  <c r="Q359" i="193"/>
  <c r="Q374" i="193"/>
  <c r="Q379" i="193"/>
  <c r="Q387" i="193"/>
  <c r="Q391" i="193"/>
  <c r="Q395" i="193"/>
  <c r="Q407" i="193"/>
  <c r="Q411" i="193"/>
  <c r="Q419" i="193"/>
  <c r="Q423" i="193"/>
  <c r="Q427" i="193"/>
  <c r="Q433" i="193"/>
  <c r="Q438" i="193"/>
  <c r="Q441" i="193"/>
  <c r="Q445" i="193"/>
  <c r="Q450" i="193"/>
  <c r="Q456" i="193"/>
  <c r="Q458" i="193"/>
  <c r="Q460" i="193"/>
  <c r="Q473" i="193"/>
  <c r="K488" i="193"/>
  <c r="K667" i="193" s="1"/>
  <c r="O488" i="193"/>
  <c r="O667" i="193" s="1"/>
  <c r="Q480" i="193"/>
  <c r="Q492" i="193"/>
  <c r="Q495" i="193"/>
  <c r="Q502" i="193"/>
  <c r="Q507" i="193"/>
  <c r="Q509" i="193"/>
  <c r="Q511" i="193"/>
  <c r="Q513" i="193"/>
  <c r="Q515" i="193"/>
  <c r="Q519" i="193"/>
  <c r="Q524" i="193"/>
  <c r="Q527" i="193"/>
  <c r="Q535" i="193"/>
  <c r="Q541" i="193"/>
  <c r="Q552" i="193"/>
  <c r="Q555" i="193"/>
  <c r="Q562" i="193"/>
  <c r="Q565" i="193"/>
  <c r="Q571" i="193"/>
  <c r="Q573" i="193"/>
  <c r="Q578" i="193"/>
  <c r="Q585" i="193"/>
  <c r="Q586" i="193"/>
  <c r="Q588" i="193"/>
  <c r="Q590" i="193"/>
  <c r="Q592" i="193"/>
  <c r="Q601" i="193"/>
  <c r="Q604" i="193"/>
  <c r="Q644" i="193"/>
  <c r="Q648" i="193"/>
  <c r="Q656" i="193"/>
  <c r="Q657" i="193"/>
  <c r="Q660" i="193"/>
  <c r="Q664" i="193"/>
  <c r="Q665" i="193"/>
  <c r="Q666" i="193"/>
  <c r="Q670" i="193"/>
  <c r="K680" i="193"/>
  <c r="K692" i="193" s="1"/>
  <c r="O680" i="193"/>
  <c r="O692" i="193" s="1"/>
  <c r="Q672" i="193"/>
  <c r="Q673" i="193"/>
  <c r="Q677" i="193"/>
  <c r="Q679" i="193"/>
  <c r="Q684" i="193"/>
  <c r="Q689" i="193"/>
  <c r="K711" i="193"/>
  <c r="K716" i="193" s="1"/>
  <c r="O711" i="193"/>
  <c r="O716" i="193" s="1"/>
  <c r="Q697" i="193"/>
  <c r="Q698" i="193"/>
  <c r="Q705" i="193"/>
  <c r="Q709" i="193"/>
  <c r="I748" i="193"/>
  <c r="I751" i="193" s="1"/>
  <c r="M748" i="193"/>
  <c r="M751" i="193" s="1"/>
  <c r="Q722" i="193"/>
  <c r="Q725" i="193"/>
  <c r="Q732" i="193"/>
  <c r="Q740" i="193"/>
  <c r="Q741" i="193"/>
  <c r="K823" i="193"/>
  <c r="K825" i="193" s="1"/>
  <c r="Q17" i="193"/>
  <c r="Q31" i="193"/>
  <c r="Q41" i="193"/>
  <c r="K220" i="193"/>
  <c r="O220" i="193"/>
  <c r="O823" i="193" s="1"/>
  <c r="O825" i="193" s="1"/>
  <c r="Q52" i="193"/>
  <c r="Q53" i="193"/>
  <c r="Q54" i="193"/>
  <c r="Q59" i="193"/>
  <c r="Q60" i="193"/>
  <c r="Q69" i="193"/>
  <c r="Q73" i="193"/>
  <c r="Q78" i="193"/>
  <c r="Q79" i="193"/>
  <c r="Q85" i="193"/>
  <c r="Q90" i="193"/>
  <c r="Q91" i="193"/>
  <c r="Q92" i="193"/>
  <c r="Q95" i="193"/>
  <c r="Q97" i="193"/>
  <c r="Q107" i="193"/>
  <c r="Q112" i="193"/>
  <c r="Q121" i="193"/>
  <c r="Q123" i="193"/>
  <c r="Q130" i="193"/>
  <c r="Q134" i="193"/>
  <c r="Q135" i="193"/>
  <c r="Q136" i="193"/>
  <c r="Q140" i="193"/>
  <c r="Q141" i="193"/>
  <c r="Q147" i="193"/>
  <c r="Q151" i="193"/>
  <c r="Q156" i="193"/>
  <c r="Q157" i="193"/>
  <c r="Q163" i="193"/>
  <c r="Q168" i="193"/>
  <c r="Q169" i="193"/>
  <c r="Q170" i="193"/>
  <c r="Q177" i="193"/>
  <c r="Q178" i="193"/>
  <c r="Q182" i="193"/>
  <c r="Q183" i="193"/>
  <c r="Q188" i="193"/>
  <c r="Q201" i="193"/>
  <c r="Q207" i="193"/>
  <c r="Q239" i="193"/>
  <c r="Q242" i="193"/>
  <c r="Q251" i="193"/>
  <c r="Q256" i="193"/>
  <c r="Q258" i="193"/>
  <c r="Q263" i="193"/>
  <c r="Q268" i="193"/>
  <c r="Q273" i="193"/>
  <c r="Q275" i="193"/>
  <c r="Q287" i="193"/>
  <c r="Q292" i="193"/>
  <c r="Q294" i="193"/>
  <c r="Q298" i="193"/>
  <c r="Q305" i="193"/>
  <c r="Q310" i="193"/>
  <c r="Q312" i="193"/>
  <c r="Q321" i="193"/>
  <c r="Q328" i="193"/>
  <c r="Q331" i="193"/>
  <c r="Q336" i="193"/>
  <c r="Q342" i="193"/>
  <c r="Q355" i="193"/>
  <c r="Q360" i="193"/>
  <c r="Q367" i="193"/>
  <c r="Q368" i="193"/>
  <c r="Q375" i="193"/>
  <c r="Q380" i="193"/>
  <c r="Q386" i="193"/>
  <c r="Q392" i="193"/>
  <c r="Q396" i="193"/>
  <c r="Q401" i="193"/>
  <c r="Q402" i="193"/>
  <c r="Q408" i="193"/>
  <c r="Q412" i="193"/>
  <c r="Q418" i="193"/>
  <c r="Q424" i="193"/>
  <c r="Q428" i="193"/>
  <c r="Q442" i="193"/>
  <c r="Q446" i="193"/>
  <c r="Q454" i="193"/>
  <c r="Q463" i="193"/>
  <c r="Q469" i="193"/>
  <c r="Q482" i="193"/>
  <c r="Q496" i="193"/>
  <c r="Q512" i="193"/>
  <c r="Q516" i="193"/>
  <c r="Q520" i="193"/>
  <c r="Q528" i="193"/>
  <c r="Q532" i="193"/>
  <c r="Q536" i="193"/>
  <c r="Q574" i="193"/>
  <c r="Q589" i="193"/>
  <c r="Q593" i="193"/>
  <c r="Q597" i="193"/>
  <c r="Q605" i="193"/>
  <c r="Q609" i="193"/>
  <c r="Q652" i="193"/>
  <c r="Q704" i="193"/>
  <c r="Q726" i="193"/>
  <c r="Q244" i="193"/>
  <c r="Q248" i="193"/>
  <c r="Q253" i="193"/>
  <c r="Q254" i="193"/>
  <c r="Q260" i="193"/>
  <c r="Q265" i="193"/>
  <c r="Q271" i="193"/>
  <c r="Q277" i="193"/>
  <c r="Q283" i="193"/>
  <c r="Q289" i="193"/>
  <c r="Q290" i="193"/>
  <c r="Q296" i="193"/>
  <c r="Q300" i="193"/>
  <c r="Q308" i="193"/>
  <c r="Q314" i="193"/>
  <c r="Q318" i="193"/>
  <c r="Q325" i="193"/>
  <c r="Q326" i="193"/>
  <c r="Q334" i="193"/>
  <c r="Q338" i="193"/>
  <c r="Q351" i="193"/>
  <c r="Q353" i="193"/>
  <c r="Q363" i="193"/>
  <c r="Q370" i="193"/>
  <c r="Q372" i="193"/>
  <c r="Q377" i="193"/>
  <c r="Q383" i="193"/>
  <c r="Q388" i="193"/>
  <c r="Q390" i="193"/>
  <c r="Q399" i="193"/>
  <c r="Q404" i="193"/>
  <c r="Q406" i="193"/>
  <c r="Q410" i="193"/>
  <c r="Q415" i="193"/>
  <c r="Q420" i="193"/>
  <c r="Q422" i="193"/>
  <c r="Q432" i="193"/>
  <c r="Q449" i="193"/>
  <c r="Q472" i="193"/>
  <c r="Q479" i="193"/>
  <c r="Q500" i="193"/>
  <c r="Q523" i="193"/>
  <c r="Q540" i="193"/>
  <c r="Q564" i="193"/>
  <c r="Q577" i="193"/>
  <c r="Q600" i="193"/>
  <c r="Q643" i="193"/>
  <c r="Q647" i="193"/>
  <c r="Q683" i="193"/>
  <c r="Q688" i="193"/>
  <c r="Q708" i="193"/>
  <c r="Q715" i="193"/>
  <c r="Q731" i="193"/>
  <c r="Q785" i="193"/>
  <c r="Q790" i="193"/>
  <c r="Q807" i="193"/>
  <c r="Q814" i="193"/>
  <c r="O5" i="194"/>
  <c r="O21" i="194" s="1"/>
  <c r="O9" i="194"/>
  <c r="O13" i="194"/>
  <c r="O17" i="194"/>
  <c r="F21" i="195"/>
  <c r="J21" i="195"/>
  <c r="D21" i="195"/>
  <c r="N7" i="195"/>
  <c r="N11" i="195"/>
  <c r="N15" i="195"/>
  <c r="N19" i="195"/>
  <c r="Q759" i="193"/>
  <c r="Q760" i="193"/>
  <c r="Q766" i="193"/>
  <c r="Q767" i="193"/>
  <c r="Q769" i="193"/>
  <c r="Q773" i="193"/>
  <c r="Q774" i="193"/>
  <c r="Q779" i="193"/>
  <c r="Q789" i="193"/>
  <c r="Q794" i="193"/>
  <c r="Q802" i="193"/>
  <c r="Q805" i="193"/>
  <c r="G822" i="193"/>
  <c r="Q813" i="193"/>
  <c r="Q818" i="193"/>
  <c r="Q824" i="193"/>
  <c r="O4" i="194"/>
  <c r="O8" i="194"/>
  <c r="O12" i="194"/>
  <c r="O16" i="194"/>
  <c r="O20" i="194"/>
  <c r="N5" i="195"/>
  <c r="N9" i="195"/>
  <c r="N13" i="195"/>
  <c r="N17" i="195"/>
  <c r="Q745" i="193"/>
  <c r="Q762" i="193"/>
  <c r="Q764" i="193"/>
  <c r="Q765" i="193"/>
  <c r="Q770" i="193"/>
  <c r="Q771" i="193"/>
  <c r="Q776" i="193"/>
  <c r="Q777" i="193"/>
  <c r="Q780" i="193"/>
  <c r="Q787" i="193"/>
  <c r="Q791" i="193"/>
  <c r="Q797" i="193"/>
  <c r="Q799" i="193"/>
  <c r="Q810" i="193"/>
  <c r="Q815" i="193"/>
  <c r="M822" i="193"/>
  <c r="O6" i="194"/>
  <c r="O10" i="194"/>
  <c r="O14" i="194"/>
  <c r="O18" i="194"/>
  <c r="N4" i="195"/>
  <c r="N6" i="195"/>
  <c r="N8" i="195"/>
  <c r="N10" i="195"/>
  <c r="N12" i="195"/>
  <c r="N14" i="195"/>
  <c r="N16" i="195"/>
  <c r="N18" i="195"/>
  <c r="N20" i="195"/>
  <c r="N3" i="195"/>
  <c r="Q223" i="193"/>
  <c r="Q235" i="193"/>
  <c r="G711" i="193"/>
  <c r="G716" i="193" s="1"/>
  <c r="G39" i="193"/>
  <c r="G45" i="193" s="1"/>
  <c r="Q7" i="193"/>
  <c r="Q9" i="193"/>
  <c r="Q12" i="193"/>
  <c r="Q23" i="193"/>
  <c r="Q36" i="193"/>
  <c r="Q43" i="193"/>
  <c r="Q224" i="193"/>
  <c r="Q236" i="193"/>
  <c r="G347" i="193"/>
  <c r="G474" i="193" s="1"/>
  <c r="Q266" i="193"/>
  <c r="Q269" i="193"/>
  <c r="Q302" i="193"/>
  <c r="Q306" i="193"/>
  <c r="Q339" i="193"/>
  <c r="Q344" i="193"/>
  <c r="Q381" i="193"/>
  <c r="Q384" i="193"/>
  <c r="Q413" i="193"/>
  <c r="Q416" i="193"/>
  <c r="Q448" i="193"/>
  <c r="Q451" i="193"/>
  <c r="Q481" i="193"/>
  <c r="Q485" i="193"/>
  <c r="G488" i="193"/>
  <c r="G667" i="193" s="1"/>
  <c r="Q522" i="193"/>
  <c r="Q525" i="193"/>
  <c r="Q576" i="193"/>
  <c r="Q582" i="193"/>
  <c r="Q695" i="193"/>
  <c r="Q729" i="193"/>
  <c r="Q734" i="193"/>
  <c r="Q748" i="193" s="1"/>
  <c r="Q751" i="193" s="1"/>
  <c r="Q74" i="193"/>
  <c r="Q77" i="193"/>
  <c r="Q80" i="193"/>
  <c r="Q114" i="193"/>
  <c r="Q120" i="193"/>
  <c r="Q124" i="193"/>
  <c r="Q152" i="193"/>
  <c r="Q155" i="193"/>
  <c r="Q158" i="193"/>
  <c r="Q190" i="193"/>
  <c r="Q199" i="193"/>
  <c r="Q203" i="193"/>
  <c r="Q206" i="193"/>
  <c r="G680" i="193"/>
  <c r="G692" i="193" s="1"/>
  <c r="Q720" i="193"/>
  <c r="G748" i="193"/>
  <c r="G751" i="193" s="1"/>
  <c r="Q13" i="193"/>
  <c r="Q16" i="193"/>
  <c r="Q24" i="193"/>
  <c r="Q29" i="193"/>
  <c r="Q38" i="193"/>
  <c r="Q44" i="193"/>
  <c r="Q194" i="193"/>
  <c r="Q216" i="193"/>
  <c r="Q219" i="193"/>
  <c r="Q225" i="193"/>
  <c r="Q231" i="193"/>
  <c r="Q237" i="193"/>
  <c r="Q246" i="193"/>
  <c r="Q249" i="193"/>
  <c r="Q252" i="193"/>
  <c r="Q255" i="193"/>
  <c r="Q270" i="193"/>
  <c r="Q281" i="193"/>
  <c r="Q285" i="193"/>
  <c r="Q288" i="193"/>
  <c r="Q291" i="193"/>
  <c r="Q307" i="193"/>
  <c r="Q316" i="193"/>
  <c r="Q319" i="193"/>
  <c r="Q323" i="193"/>
  <c r="Q327" i="193"/>
  <c r="Q346" i="193"/>
  <c r="Q357" i="193"/>
  <c r="Q361" i="193"/>
  <c r="Q365" i="193"/>
  <c r="Q369" i="193"/>
  <c r="Q385" i="193"/>
  <c r="Q394" i="193"/>
  <c r="Q397" i="193"/>
  <c r="Q400" i="193"/>
  <c r="Q403" i="193"/>
  <c r="Q417" i="193"/>
  <c r="Q426" i="193"/>
  <c r="Q429" i="193"/>
  <c r="Q434" i="193"/>
  <c r="Q437" i="193"/>
  <c r="Q452" i="193"/>
  <c r="Q468" i="193"/>
  <c r="Q471" i="193"/>
  <c r="Q498" i="193"/>
  <c r="Q503" i="193"/>
  <c r="Q561" i="193"/>
  <c r="Q583" i="193"/>
  <c r="Q596" i="193"/>
  <c r="Q599" i="193"/>
  <c r="Q602" i="193"/>
  <c r="Q700" i="193"/>
  <c r="Q736" i="193"/>
  <c r="Q796" i="193"/>
  <c r="Q803" i="193"/>
  <c r="Q816" i="193"/>
  <c r="Q820" i="193"/>
  <c r="G171" i="193"/>
  <c r="G220" i="193" s="1"/>
  <c r="Q49" i="193"/>
  <c r="Q70" i="193"/>
  <c r="Q87" i="193"/>
  <c r="Q108" i="193"/>
  <c r="Q131" i="193"/>
  <c r="Q148" i="193"/>
  <c r="Q164" i="193"/>
  <c r="Q176" i="193"/>
  <c r="Q215" i="193"/>
  <c r="G227" i="193"/>
  <c r="G232" i="193" s="1"/>
  <c r="Q245" i="193"/>
  <c r="Q262" i="193"/>
  <c r="Q279" i="193"/>
  <c r="Q297" i="193"/>
  <c r="Q315" i="193"/>
  <c r="Q335" i="193"/>
  <c r="Q356" i="193"/>
  <c r="Q376" i="193"/>
  <c r="Q393" i="193"/>
  <c r="Q409" i="193"/>
  <c r="Q425" i="193"/>
  <c r="Q444" i="193"/>
  <c r="Q466" i="193"/>
  <c r="Q477" i="193"/>
  <c r="Q518" i="193"/>
  <c r="Q539" i="193"/>
  <c r="Q542" i="193"/>
  <c r="Q547" i="193"/>
  <c r="Q595" i="193"/>
  <c r="Q651" i="193"/>
  <c r="Q654" i="193"/>
  <c r="Q658" i="193"/>
  <c r="Q713" i="193"/>
  <c r="Q757" i="193"/>
  <c r="Q792" i="193"/>
  <c r="Q795" i="193"/>
  <c r="Q798" i="193"/>
  <c r="Q812" i="193"/>
  <c r="Q64" i="193"/>
  <c r="Q82" i="193"/>
  <c r="Q102" i="193"/>
  <c r="Q126" i="193"/>
  <c r="Q144" i="193"/>
  <c r="Q160" i="193"/>
  <c r="Q193" i="193"/>
  <c r="Q211" i="193"/>
  <c r="Q241" i="193"/>
  <c r="Q257" i="193"/>
  <c r="Q274" i="193"/>
  <c r="Q293" i="193"/>
  <c r="Q311" i="193"/>
  <c r="Q330" i="193"/>
  <c r="Q352" i="193"/>
  <c r="Q371" i="193"/>
  <c r="Q389" i="193"/>
  <c r="Q405" i="193"/>
  <c r="Q421" i="193"/>
  <c r="Q439" i="193"/>
  <c r="Q457" i="193"/>
  <c r="Q487" i="193"/>
  <c r="Q491" i="193"/>
  <c r="Q526" i="193"/>
  <c r="Q531" i="193"/>
  <c r="Q534" i="193"/>
  <c r="Q563" i="193"/>
  <c r="Q566" i="193"/>
  <c r="Q570" i="193"/>
  <c r="Q603" i="193"/>
  <c r="Q608" i="193"/>
  <c r="Q645" i="193"/>
  <c r="Q687" i="193"/>
  <c r="Q690" i="193"/>
  <c r="Q706" i="193"/>
  <c r="Q710" i="193"/>
  <c r="Q721" i="193"/>
  <c r="G800" i="193"/>
  <c r="G808" i="193" s="1"/>
  <c r="Q758" i="193"/>
  <c r="Q761" i="193"/>
  <c r="Q783" i="193"/>
  <c r="Q788" i="193"/>
  <c r="Q806" i="193"/>
  <c r="Q821" i="193"/>
  <c r="Q459" i="193"/>
  <c r="Q494" i="193"/>
  <c r="Q514" i="193"/>
  <c r="Q530" i="193"/>
  <c r="Q551" i="193"/>
  <c r="Q572" i="193"/>
  <c r="Q591" i="193"/>
  <c r="Q607" i="193"/>
  <c r="Q661" i="193"/>
  <c r="Q671" i="193"/>
  <c r="Q685" i="193"/>
  <c r="Q696" i="193"/>
  <c r="Q724" i="193"/>
  <c r="Q763" i="193"/>
  <c r="Q782" i="193"/>
  <c r="K17" i="192"/>
  <c r="J17" i="192"/>
  <c r="I17" i="192"/>
  <c r="H17" i="192"/>
  <c r="G17" i="192"/>
  <c r="F17" i="192"/>
  <c r="E17" i="192"/>
  <c r="D17" i="192"/>
  <c r="M15" i="192"/>
  <c r="L15" i="192"/>
  <c r="K15" i="192"/>
  <c r="J15" i="192"/>
  <c r="I15" i="192"/>
  <c r="H15" i="192"/>
  <c r="G15" i="192"/>
  <c r="F15" i="192"/>
  <c r="E15" i="192"/>
  <c r="D15" i="192"/>
  <c r="M14" i="192"/>
  <c r="L14" i="192"/>
  <c r="K14" i="192"/>
  <c r="J14" i="192"/>
  <c r="I14" i="192"/>
  <c r="H14" i="192"/>
  <c r="G14" i="192"/>
  <c r="F14" i="192"/>
  <c r="E14" i="192"/>
  <c r="D14" i="192"/>
  <c r="M13" i="192"/>
  <c r="L13" i="192"/>
  <c r="K13" i="192"/>
  <c r="J13" i="192"/>
  <c r="I13" i="192"/>
  <c r="H13" i="192"/>
  <c r="G13" i="192"/>
  <c r="F13" i="192"/>
  <c r="E13" i="192"/>
  <c r="D13" i="192"/>
  <c r="M12" i="192"/>
  <c r="L12" i="192"/>
  <c r="K12" i="192"/>
  <c r="J12" i="192"/>
  <c r="I12" i="192"/>
  <c r="H12" i="192"/>
  <c r="G12" i="192"/>
  <c r="F12" i="192"/>
  <c r="E12" i="192"/>
  <c r="D12" i="192"/>
  <c r="M11" i="192"/>
  <c r="L11" i="192"/>
  <c r="K11" i="192"/>
  <c r="J11" i="192"/>
  <c r="I11" i="192"/>
  <c r="H11" i="192"/>
  <c r="G11" i="192"/>
  <c r="F11" i="192"/>
  <c r="E11" i="192"/>
  <c r="D11" i="192"/>
  <c r="M10" i="192"/>
  <c r="L10" i="192"/>
  <c r="K10" i="192"/>
  <c r="J10" i="192"/>
  <c r="I10" i="192"/>
  <c r="H10" i="192"/>
  <c r="G10" i="192"/>
  <c r="F10" i="192"/>
  <c r="E10" i="192"/>
  <c r="D10" i="192"/>
  <c r="M9" i="192"/>
  <c r="L9" i="192"/>
  <c r="K9" i="192"/>
  <c r="J9" i="192"/>
  <c r="I9" i="192"/>
  <c r="H9" i="192"/>
  <c r="G9" i="192"/>
  <c r="F9" i="192"/>
  <c r="E9" i="192"/>
  <c r="D9" i="192"/>
  <c r="M8" i="192"/>
  <c r="L8" i="192"/>
  <c r="K8" i="192"/>
  <c r="J8" i="192"/>
  <c r="I8" i="192"/>
  <c r="H8" i="192"/>
  <c r="G8" i="192"/>
  <c r="F8" i="192"/>
  <c r="E8" i="192"/>
  <c r="D8" i="192"/>
  <c r="M7" i="192"/>
  <c r="L7" i="192"/>
  <c r="K7" i="192"/>
  <c r="J7" i="192"/>
  <c r="I7" i="192"/>
  <c r="H7" i="192"/>
  <c r="G7" i="192"/>
  <c r="F7" i="192"/>
  <c r="E7" i="192"/>
  <c r="D7" i="192"/>
  <c r="M6" i="192"/>
  <c r="L6" i="192"/>
  <c r="K6" i="192"/>
  <c r="J6" i="192"/>
  <c r="I6" i="192"/>
  <c r="H6" i="192"/>
  <c r="G6" i="192"/>
  <c r="F6" i="192"/>
  <c r="E6" i="192"/>
  <c r="D6" i="192"/>
  <c r="M5" i="192"/>
  <c r="L5" i="192"/>
  <c r="K5" i="192"/>
  <c r="J5" i="192"/>
  <c r="I5" i="192"/>
  <c r="H5" i="192"/>
  <c r="G5" i="192"/>
  <c r="F5" i="192"/>
  <c r="E5" i="192"/>
  <c r="D5" i="192"/>
  <c r="M171" i="191"/>
  <c r="K171" i="191"/>
  <c r="J171" i="191"/>
  <c r="I171" i="191"/>
  <c r="H171" i="191"/>
  <c r="G171" i="191"/>
  <c r="F171" i="191"/>
  <c r="E171" i="191"/>
  <c r="N168" i="191"/>
  <c r="M168" i="191"/>
  <c r="L168" i="191"/>
  <c r="K168" i="191"/>
  <c r="J168" i="191"/>
  <c r="I168" i="191"/>
  <c r="H168" i="191"/>
  <c r="G168" i="191"/>
  <c r="F168" i="191"/>
  <c r="E168" i="191"/>
  <c r="N167" i="191"/>
  <c r="M167" i="191"/>
  <c r="L167" i="191"/>
  <c r="K167" i="191"/>
  <c r="J167" i="191"/>
  <c r="I167" i="191"/>
  <c r="H167" i="191"/>
  <c r="G167" i="191"/>
  <c r="F167" i="191"/>
  <c r="E167" i="191"/>
  <c r="N166" i="191"/>
  <c r="M166" i="191"/>
  <c r="L166" i="191"/>
  <c r="K166" i="191"/>
  <c r="J166" i="191"/>
  <c r="I166" i="191"/>
  <c r="H166" i="191"/>
  <c r="G166" i="191"/>
  <c r="F166" i="191"/>
  <c r="E166" i="191"/>
  <c r="N164" i="191"/>
  <c r="M164" i="191"/>
  <c r="L164" i="191"/>
  <c r="K164" i="191"/>
  <c r="J164" i="191"/>
  <c r="I164" i="191"/>
  <c r="H164" i="191"/>
  <c r="G164" i="191"/>
  <c r="F164" i="191"/>
  <c r="E164" i="191"/>
  <c r="N163" i="191"/>
  <c r="M163" i="191"/>
  <c r="L163" i="191"/>
  <c r="K163" i="191"/>
  <c r="J163" i="191"/>
  <c r="I163" i="191"/>
  <c r="H163" i="191"/>
  <c r="G163" i="191"/>
  <c r="G169" i="191" s="1"/>
  <c r="F163" i="191"/>
  <c r="E163" i="191"/>
  <c r="O160" i="191"/>
  <c r="N157" i="191"/>
  <c r="M157" i="191"/>
  <c r="L157" i="191"/>
  <c r="K157" i="191"/>
  <c r="J157" i="191"/>
  <c r="I157" i="191"/>
  <c r="H157" i="191"/>
  <c r="G157" i="191"/>
  <c r="F157" i="191"/>
  <c r="E157" i="191"/>
  <c r="N155" i="191"/>
  <c r="M155" i="191"/>
  <c r="L155" i="191"/>
  <c r="K155" i="191"/>
  <c r="J155" i="191"/>
  <c r="I155" i="191"/>
  <c r="H155" i="191"/>
  <c r="G155" i="191"/>
  <c r="F155" i="191"/>
  <c r="E155" i="191"/>
  <c r="N153" i="191"/>
  <c r="M153" i="191"/>
  <c r="L153" i="191"/>
  <c r="K153" i="191"/>
  <c r="J153" i="191"/>
  <c r="I153" i="191"/>
  <c r="H153" i="191"/>
  <c r="G153" i="191"/>
  <c r="F153" i="191"/>
  <c r="E153" i="191"/>
  <c r="N151" i="191"/>
  <c r="M151" i="191"/>
  <c r="L151" i="191"/>
  <c r="K151" i="191"/>
  <c r="J151" i="191"/>
  <c r="I151" i="191"/>
  <c r="H151" i="191"/>
  <c r="G151" i="191"/>
  <c r="F151" i="191"/>
  <c r="E151" i="191"/>
  <c r="N150" i="191"/>
  <c r="M150" i="191"/>
  <c r="L150" i="191"/>
  <c r="K150" i="191"/>
  <c r="J150" i="191"/>
  <c r="I150" i="191"/>
  <c r="H150" i="191"/>
  <c r="G150" i="191"/>
  <c r="F150" i="191"/>
  <c r="E150" i="191"/>
  <c r="N149" i="191"/>
  <c r="M149" i="191"/>
  <c r="L149" i="191"/>
  <c r="K149" i="191"/>
  <c r="J149" i="191"/>
  <c r="I149" i="191"/>
  <c r="H149" i="191"/>
  <c r="G149" i="191"/>
  <c r="F149" i="191"/>
  <c r="E149" i="191"/>
  <c r="N148" i="191"/>
  <c r="M148" i="191"/>
  <c r="L148" i="191"/>
  <c r="K148" i="191"/>
  <c r="J148" i="191"/>
  <c r="I148" i="191"/>
  <c r="H148" i="191"/>
  <c r="G148" i="191"/>
  <c r="F148" i="191"/>
  <c r="E148" i="191"/>
  <c r="N147" i="191"/>
  <c r="M147" i="191"/>
  <c r="L147" i="191"/>
  <c r="K147" i="191"/>
  <c r="J147" i="191"/>
  <c r="I147" i="191"/>
  <c r="H147" i="191"/>
  <c r="G147" i="191"/>
  <c r="F147" i="191"/>
  <c r="E147" i="191"/>
  <c r="N146" i="191"/>
  <c r="M146" i="191"/>
  <c r="L146" i="191"/>
  <c r="K146" i="191"/>
  <c r="J146" i="191"/>
  <c r="I146" i="191"/>
  <c r="H146" i="191"/>
  <c r="G146" i="191"/>
  <c r="F146" i="191"/>
  <c r="E146" i="191"/>
  <c r="N144" i="191"/>
  <c r="M144" i="191"/>
  <c r="L144" i="191"/>
  <c r="K144" i="191"/>
  <c r="J144" i="191"/>
  <c r="I144" i="191"/>
  <c r="H144" i="191"/>
  <c r="G144" i="191"/>
  <c r="F144" i="191"/>
  <c r="E144" i="191"/>
  <c r="N143" i="191"/>
  <c r="M143" i="191"/>
  <c r="L143" i="191"/>
  <c r="K143" i="191"/>
  <c r="J143" i="191"/>
  <c r="I143" i="191"/>
  <c r="H143" i="191"/>
  <c r="G143" i="191"/>
  <c r="F143" i="191"/>
  <c r="E143" i="191"/>
  <c r="N142" i="191"/>
  <c r="M142" i="191"/>
  <c r="L142" i="191"/>
  <c r="K142" i="191"/>
  <c r="J142" i="191"/>
  <c r="I142" i="191"/>
  <c r="H142" i="191"/>
  <c r="G142" i="191"/>
  <c r="F142" i="191"/>
  <c r="E142" i="191"/>
  <c r="N141" i="191"/>
  <c r="M141" i="191"/>
  <c r="L141" i="191"/>
  <c r="K141" i="191"/>
  <c r="J141" i="191"/>
  <c r="I141" i="191"/>
  <c r="H141" i="191"/>
  <c r="G141" i="191"/>
  <c r="F141" i="191"/>
  <c r="E141" i="191"/>
  <c r="N140" i="191"/>
  <c r="M140" i="191"/>
  <c r="L140" i="191"/>
  <c r="K140" i="191"/>
  <c r="J140" i="191"/>
  <c r="I140" i="191"/>
  <c r="H140" i="191"/>
  <c r="G140" i="191"/>
  <c r="F140" i="191"/>
  <c r="E140" i="191"/>
  <c r="N139" i="191"/>
  <c r="M139" i="191"/>
  <c r="L139" i="191"/>
  <c r="K139" i="191"/>
  <c r="J139" i="191"/>
  <c r="I139" i="191"/>
  <c r="H139" i="191"/>
  <c r="G139" i="191"/>
  <c r="F139" i="191"/>
  <c r="E139" i="191"/>
  <c r="N138" i="191"/>
  <c r="M138" i="191"/>
  <c r="L138" i="191"/>
  <c r="K138" i="191"/>
  <c r="J138" i="191"/>
  <c r="I138" i="191"/>
  <c r="H138" i="191"/>
  <c r="G138" i="191"/>
  <c r="F138" i="191"/>
  <c r="E138" i="191"/>
  <c r="N137" i="191"/>
  <c r="M137" i="191"/>
  <c r="L137" i="191"/>
  <c r="K137" i="191"/>
  <c r="J137" i="191"/>
  <c r="I137" i="191"/>
  <c r="H137" i="191"/>
  <c r="G137" i="191"/>
  <c r="F137" i="191"/>
  <c r="E137" i="191"/>
  <c r="N136" i="191"/>
  <c r="M136" i="191"/>
  <c r="L136" i="191"/>
  <c r="K136" i="191"/>
  <c r="J136" i="191"/>
  <c r="I136" i="191"/>
  <c r="H136" i="191"/>
  <c r="G136" i="191"/>
  <c r="F136" i="191"/>
  <c r="E136" i="191"/>
  <c r="N135" i="191"/>
  <c r="M135" i="191"/>
  <c r="L135" i="191"/>
  <c r="K135" i="191"/>
  <c r="J135" i="191"/>
  <c r="I135" i="191"/>
  <c r="H135" i="191"/>
  <c r="G135" i="191"/>
  <c r="F135" i="191"/>
  <c r="E135" i="191"/>
  <c r="N133" i="191"/>
  <c r="M133" i="191"/>
  <c r="L133" i="191"/>
  <c r="K133" i="191"/>
  <c r="J133" i="191"/>
  <c r="I133" i="191"/>
  <c r="H133" i="191"/>
  <c r="G133" i="191"/>
  <c r="F133" i="191"/>
  <c r="E133" i="191"/>
  <c r="N132" i="191"/>
  <c r="M132" i="191"/>
  <c r="L132" i="191"/>
  <c r="K132" i="191"/>
  <c r="J132" i="191"/>
  <c r="I132" i="191"/>
  <c r="H132" i="191"/>
  <c r="G132" i="191"/>
  <c r="F132" i="191"/>
  <c r="E132" i="191"/>
  <c r="N131" i="191"/>
  <c r="M131" i="191"/>
  <c r="L131" i="191"/>
  <c r="K131" i="191"/>
  <c r="J131" i="191"/>
  <c r="I131" i="191"/>
  <c r="H131" i="191"/>
  <c r="G131" i="191"/>
  <c r="F131" i="191"/>
  <c r="E131" i="191"/>
  <c r="N130" i="191"/>
  <c r="M130" i="191"/>
  <c r="L130" i="191"/>
  <c r="K130" i="191"/>
  <c r="J130" i="191"/>
  <c r="I130" i="191"/>
  <c r="H130" i="191"/>
  <c r="G130" i="191"/>
  <c r="F130" i="191"/>
  <c r="E130" i="191"/>
  <c r="N129" i="191"/>
  <c r="M129" i="191"/>
  <c r="L129" i="191"/>
  <c r="K129" i="191"/>
  <c r="J129" i="191"/>
  <c r="I129" i="191"/>
  <c r="H129" i="191"/>
  <c r="G129" i="191"/>
  <c r="F129" i="191"/>
  <c r="E129" i="191"/>
  <c r="N128" i="191"/>
  <c r="M128" i="191"/>
  <c r="L128" i="191"/>
  <c r="K128" i="191"/>
  <c r="J128" i="191"/>
  <c r="I128" i="191"/>
  <c r="H128" i="191"/>
  <c r="G128" i="191"/>
  <c r="F128" i="191"/>
  <c r="E128" i="191"/>
  <c r="N126" i="191"/>
  <c r="M126" i="191"/>
  <c r="L126" i="191"/>
  <c r="L158" i="191" s="1"/>
  <c r="K126" i="191"/>
  <c r="J126" i="191"/>
  <c r="I126" i="191"/>
  <c r="H126" i="191"/>
  <c r="G126" i="191"/>
  <c r="F126" i="191"/>
  <c r="E126" i="191"/>
  <c r="N122" i="191"/>
  <c r="M122" i="191"/>
  <c r="L122" i="191"/>
  <c r="K122" i="191"/>
  <c r="J122" i="191"/>
  <c r="I122" i="191"/>
  <c r="H122" i="191"/>
  <c r="G122" i="191"/>
  <c r="F122" i="191"/>
  <c r="E122" i="191"/>
  <c r="N121" i="191"/>
  <c r="M121" i="191"/>
  <c r="L121" i="191"/>
  <c r="K121" i="191"/>
  <c r="J121" i="191"/>
  <c r="I121" i="191"/>
  <c r="H121" i="191"/>
  <c r="G121" i="191"/>
  <c r="F121" i="191"/>
  <c r="E121" i="191"/>
  <c r="N120" i="191"/>
  <c r="M120" i="191"/>
  <c r="L120" i="191"/>
  <c r="K120" i="191"/>
  <c r="J120" i="191"/>
  <c r="I120" i="191"/>
  <c r="H120" i="191"/>
  <c r="G120" i="191"/>
  <c r="F120" i="191"/>
  <c r="E120" i="191"/>
  <c r="N119" i="191"/>
  <c r="M119" i="191"/>
  <c r="L119" i="191"/>
  <c r="K119" i="191"/>
  <c r="J119" i="191"/>
  <c r="I119" i="191"/>
  <c r="H119" i="191"/>
  <c r="G119" i="191"/>
  <c r="F119" i="191"/>
  <c r="E119" i="191"/>
  <c r="N118" i="191"/>
  <c r="M118" i="191"/>
  <c r="L118" i="191"/>
  <c r="K118" i="191"/>
  <c r="J118" i="191"/>
  <c r="I118" i="191"/>
  <c r="H118" i="191"/>
  <c r="G118" i="191"/>
  <c r="F118" i="191"/>
  <c r="E118" i="191"/>
  <c r="N117" i="191"/>
  <c r="M117" i="191"/>
  <c r="L117" i="191"/>
  <c r="K117" i="191"/>
  <c r="J117" i="191"/>
  <c r="I117" i="191"/>
  <c r="H117" i="191"/>
  <c r="G117" i="191"/>
  <c r="F117" i="191"/>
  <c r="E117" i="191"/>
  <c r="N113" i="191"/>
  <c r="M113" i="191"/>
  <c r="L113" i="191"/>
  <c r="K113" i="191"/>
  <c r="J113" i="191"/>
  <c r="I113" i="191"/>
  <c r="H113" i="191"/>
  <c r="G113" i="191"/>
  <c r="F113" i="191"/>
  <c r="E113" i="191"/>
  <c r="N111" i="191"/>
  <c r="M111" i="191"/>
  <c r="L111" i="191"/>
  <c r="K111" i="191"/>
  <c r="J111" i="191"/>
  <c r="I111" i="191"/>
  <c r="H111" i="191"/>
  <c r="G111" i="191"/>
  <c r="F111" i="191"/>
  <c r="E111" i="191"/>
  <c r="N108" i="191"/>
  <c r="M108" i="191"/>
  <c r="L108" i="191"/>
  <c r="K108" i="191"/>
  <c r="J108" i="191"/>
  <c r="I108" i="191"/>
  <c r="H108" i="191"/>
  <c r="G108" i="191"/>
  <c r="F108" i="191"/>
  <c r="E108" i="191"/>
  <c r="N106" i="191"/>
  <c r="M106" i="191"/>
  <c r="L106" i="191"/>
  <c r="K106" i="191"/>
  <c r="J106" i="191"/>
  <c r="I106" i="191"/>
  <c r="H106" i="191"/>
  <c r="G106" i="191"/>
  <c r="F106" i="191"/>
  <c r="E106" i="191"/>
  <c r="N104" i="191"/>
  <c r="M104" i="191"/>
  <c r="L104" i="191"/>
  <c r="K104" i="191"/>
  <c r="J104" i="191"/>
  <c r="I104" i="191"/>
  <c r="H104" i="191"/>
  <c r="G104" i="191"/>
  <c r="F104" i="191"/>
  <c r="E104" i="191"/>
  <c r="N103" i="191"/>
  <c r="M103" i="191"/>
  <c r="L103" i="191"/>
  <c r="K103" i="191"/>
  <c r="J103" i="191"/>
  <c r="I103" i="191"/>
  <c r="H103" i="191"/>
  <c r="G103" i="191"/>
  <c r="F103" i="191"/>
  <c r="E103" i="191"/>
  <c r="N102" i="191"/>
  <c r="M102" i="191"/>
  <c r="L102" i="191"/>
  <c r="K102" i="191"/>
  <c r="J102" i="191"/>
  <c r="I102" i="191"/>
  <c r="H102" i="191"/>
  <c r="G102" i="191"/>
  <c r="F102" i="191"/>
  <c r="E102" i="191"/>
  <c r="N101" i="191"/>
  <c r="M101" i="191"/>
  <c r="L101" i="191"/>
  <c r="K101" i="191"/>
  <c r="J101" i="191"/>
  <c r="I101" i="191"/>
  <c r="H101" i="191"/>
  <c r="G101" i="191"/>
  <c r="F101" i="191"/>
  <c r="E101" i="191"/>
  <c r="N100" i="191"/>
  <c r="M100" i="191"/>
  <c r="L100" i="191"/>
  <c r="K100" i="191"/>
  <c r="J100" i="191"/>
  <c r="I100" i="191"/>
  <c r="H100" i="191"/>
  <c r="G100" i="191"/>
  <c r="F100" i="191"/>
  <c r="E100" i="191"/>
  <c r="N99" i="191"/>
  <c r="M99" i="191"/>
  <c r="L99" i="191"/>
  <c r="K99" i="191"/>
  <c r="J99" i="191"/>
  <c r="I99" i="191"/>
  <c r="H99" i="191"/>
  <c r="G99" i="191"/>
  <c r="F99" i="191"/>
  <c r="E99" i="191"/>
  <c r="N98" i="191"/>
  <c r="M98" i="191"/>
  <c r="L98" i="191"/>
  <c r="K98" i="191"/>
  <c r="J98" i="191"/>
  <c r="I98" i="191"/>
  <c r="H98" i="191"/>
  <c r="G98" i="191"/>
  <c r="F98" i="191"/>
  <c r="E98" i="191"/>
  <c r="N97" i="191"/>
  <c r="M97" i="191"/>
  <c r="L97" i="191"/>
  <c r="K97" i="191"/>
  <c r="J97" i="191"/>
  <c r="I97" i="191"/>
  <c r="H97" i="191"/>
  <c r="G97" i="191"/>
  <c r="F97" i="191"/>
  <c r="E97" i="191"/>
  <c r="N96" i="191"/>
  <c r="M96" i="191"/>
  <c r="L96" i="191"/>
  <c r="K96" i="191"/>
  <c r="J96" i="191"/>
  <c r="I96" i="191"/>
  <c r="H96" i="191"/>
  <c r="G96" i="191"/>
  <c r="F96" i="191"/>
  <c r="E96" i="191"/>
  <c r="N94" i="191"/>
  <c r="M94" i="191"/>
  <c r="L94" i="191"/>
  <c r="K94" i="191"/>
  <c r="J94" i="191"/>
  <c r="I94" i="191"/>
  <c r="H94" i="191"/>
  <c r="G94" i="191"/>
  <c r="F94" i="191"/>
  <c r="E94" i="191"/>
  <c r="N92" i="191"/>
  <c r="N114" i="191" s="1"/>
  <c r="M92" i="191"/>
  <c r="L92" i="191"/>
  <c r="K92" i="191"/>
  <c r="J92" i="191"/>
  <c r="J114" i="191" s="1"/>
  <c r="I92" i="191"/>
  <c r="H92" i="191"/>
  <c r="G92" i="191"/>
  <c r="F92" i="191"/>
  <c r="F114" i="191" s="1"/>
  <c r="E92" i="191"/>
  <c r="N88" i="191"/>
  <c r="M88" i="191"/>
  <c r="L88" i="191"/>
  <c r="K88" i="191"/>
  <c r="J88" i="191"/>
  <c r="I88" i="191"/>
  <c r="H88" i="191"/>
  <c r="G88" i="191"/>
  <c r="F88" i="191"/>
  <c r="E88" i="191"/>
  <c r="N87" i="191"/>
  <c r="M87" i="191"/>
  <c r="L87" i="191"/>
  <c r="K87" i="191"/>
  <c r="J87" i="191"/>
  <c r="I87" i="191"/>
  <c r="H87" i="191"/>
  <c r="G87" i="191"/>
  <c r="F87" i="191"/>
  <c r="E87" i="191"/>
  <c r="N86" i="191"/>
  <c r="M86" i="191"/>
  <c r="L86" i="191"/>
  <c r="K86" i="191"/>
  <c r="J86" i="191"/>
  <c r="I86" i="191"/>
  <c r="H86" i="191"/>
  <c r="G86" i="191"/>
  <c r="F86" i="191"/>
  <c r="E86" i="191"/>
  <c r="N85" i="191"/>
  <c r="M85" i="191"/>
  <c r="L85" i="191"/>
  <c r="K85" i="191"/>
  <c r="J85" i="191"/>
  <c r="I85" i="191"/>
  <c r="H85" i="191"/>
  <c r="G85" i="191"/>
  <c r="F85" i="191"/>
  <c r="E85" i="191"/>
  <c r="N84" i="191"/>
  <c r="M84" i="191"/>
  <c r="L84" i="191"/>
  <c r="K84" i="191"/>
  <c r="J84" i="191"/>
  <c r="I84" i="191"/>
  <c r="H84" i="191"/>
  <c r="G84" i="191"/>
  <c r="F84" i="191"/>
  <c r="E84" i="191"/>
  <c r="N83" i="191"/>
  <c r="M83" i="191"/>
  <c r="L83" i="191"/>
  <c r="K83" i="191"/>
  <c r="J83" i="191"/>
  <c r="I83" i="191"/>
  <c r="H83" i="191"/>
  <c r="G83" i="191"/>
  <c r="F83" i="191"/>
  <c r="E83" i="191"/>
  <c r="N82" i="191"/>
  <c r="M82" i="191"/>
  <c r="L82" i="191"/>
  <c r="K82" i="191"/>
  <c r="J82" i="191"/>
  <c r="I82" i="191"/>
  <c r="H82" i="191"/>
  <c r="G82" i="191"/>
  <c r="F82" i="191"/>
  <c r="E82" i="191"/>
  <c r="N81" i="191"/>
  <c r="M81" i="191"/>
  <c r="L81" i="191"/>
  <c r="K81" i="191"/>
  <c r="J81" i="191"/>
  <c r="I81" i="191"/>
  <c r="H81" i="191"/>
  <c r="G81" i="191"/>
  <c r="F81" i="191"/>
  <c r="E81" i="191"/>
  <c r="N80" i="191"/>
  <c r="M80" i="191"/>
  <c r="L80" i="191"/>
  <c r="K80" i="191"/>
  <c r="J80" i="191"/>
  <c r="I80" i="191"/>
  <c r="H80" i="191"/>
  <c r="G80" i="191"/>
  <c r="F80" i="191"/>
  <c r="E80" i="191"/>
  <c r="N79" i="191"/>
  <c r="M79" i="191"/>
  <c r="L79" i="191"/>
  <c r="K79" i="191"/>
  <c r="J79" i="191"/>
  <c r="I79" i="191"/>
  <c r="H79" i="191"/>
  <c r="G79" i="191"/>
  <c r="F79" i="191"/>
  <c r="E79" i="191"/>
  <c r="N78" i="191"/>
  <c r="M78" i="191"/>
  <c r="L78" i="191"/>
  <c r="K78" i="191"/>
  <c r="J78" i="191"/>
  <c r="I78" i="191"/>
  <c r="H78" i="191"/>
  <c r="G78" i="191"/>
  <c r="F78" i="191"/>
  <c r="E78" i="191"/>
  <c r="N77" i="191"/>
  <c r="M77" i="191"/>
  <c r="L77" i="191"/>
  <c r="K77" i="191"/>
  <c r="J77" i="191"/>
  <c r="I77" i="191"/>
  <c r="H77" i="191"/>
  <c r="G77" i="191"/>
  <c r="F77" i="191"/>
  <c r="E77" i="191"/>
  <c r="N76" i="191"/>
  <c r="M76" i="191"/>
  <c r="L76" i="191"/>
  <c r="K76" i="191"/>
  <c r="J76" i="191"/>
  <c r="I76" i="191"/>
  <c r="H76" i="191"/>
  <c r="G76" i="191"/>
  <c r="F76" i="191"/>
  <c r="E76" i="191"/>
  <c r="N75" i="191"/>
  <c r="M75" i="191"/>
  <c r="L75" i="191"/>
  <c r="K75" i="191"/>
  <c r="J75" i="191"/>
  <c r="I75" i="191"/>
  <c r="H75" i="191"/>
  <c r="G75" i="191"/>
  <c r="F75" i="191"/>
  <c r="E75" i="191"/>
  <c r="N74" i="191"/>
  <c r="M74" i="191"/>
  <c r="L74" i="191"/>
  <c r="K74" i="191"/>
  <c r="J74" i="191"/>
  <c r="I74" i="191"/>
  <c r="H74" i="191"/>
  <c r="G74" i="191"/>
  <c r="F74" i="191"/>
  <c r="E74" i="191"/>
  <c r="N73" i="191"/>
  <c r="M73" i="191"/>
  <c r="L73" i="191"/>
  <c r="K73" i="191"/>
  <c r="J73" i="191"/>
  <c r="I73" i="191"/>
  <c r="H73" i="191"/>
  <c r="G73" i="191"/>
  <c r="F73" i="191"/>
  <c r="E73" i="191"/>
  <c r="N72" i="191"/>
  <c r="M72" i="191"/>
  <c r="L72" i="191"/>
  <c r="K72" i="191"/>
  <c r="J72" i="191"/>
  <c r="I72" i="191"/>
  <c r="H72" i="191"/>
  <c r="G72" i="191"/>
  <c r="F72" i="191"/>
  <c r="E72" i="191"/>
  <c r="N71" i="191"/>
  <c r="M71" i="191"/>
  <c r="L71" i="191"/>
  <c r="K71" i="191"/>
  <c r="J71" i="191"/>
  <c r="I71" i="191"/>
  <c r="H71" i="191"/>
  <c r="G71" i="191"/>
  <c r="F71" i="191"/>
  <c r="E71" i="191"/>
  <c r="N70" i="191"/>
  <c r="M70" i="191"/>
  <c r="L70" i="191"/>
  <c r="K70" i="191"/>
  <c r="J70" i="191"/>
  <c r="I70" i="191"/>
  <c r="H70" i="191"/>
  <c r="G70" i="191"/>
  <c r="F70" i="191"/>
  <c r="E70" i="191"/>
  <c r="N69" i="191"/>
  <c r="M69" i="191"/>
  <c r="L69" i="191"/>
  <c r="K69" i="191"/>
  <c r="J69" i="191"/>
  <c r="I69" i="191"/>
  <c r="H69" i="191"/>
  <c r="G69" i="191"/>
  <c r="F69" i="191"/>
  <c r="E69" i="191"/>
  <c r="N68" i="191"/>
  <c r="M68" i="191"/>
  <c r="L68" i="191"/>
  <c r="K68" i="191"/>
  <c r="J68" i="191"/>
  <c r="I68" i="191"/>
  <c r="H68" i="191"/>
  <c r="G68" i="191"/>
  <c r="F68" i="191"/>
  <c r="E68" i="191"/>
  <c r="N67" i="191"/>
  <c r="M67" i="191"/>
  <c r="L67" i="191"/>
  <c r="K67" i="191"/>
  <c r="J67" i="191"/>
  <c r="I67" i="191"/>
  <c r="H67" i="191"/>
  <c r="G67" i="191"/>
  <c r="F67" i="191"/>
  <c r="E67" i="191"/>
  <c r="N66" i="191"/>
  <c r="M66" i="191"/>
  <c r="L66" i="191"/>
  <c r="K66" i="191"/>
  <c r="J66" i="191"/>
  <c r="I66" i="191"/>
  <c r="H66" i="191"/>
  <c r="G66" i="191"/>
  <c r="F66" i="191"/>
  <c r="E66" i="191"/>
  <c r="N65" i="191"/>
  <c r="M65" i="191"/>
  <c r="L65" i="191"/>
  <c r="K65" i="191"/>
  <c r="J65" i="191"/>
  <c r="I65" i="191"/>
  <c r="H65" i="191"/>
  <c r="G65" i="191"/>
  <c r="F65" i="191"/>
  <c r="E65" i="191"/>
  <c r="N64" i="191"/>
  <c r="M64" i="191"/>
  <c r="L64" i="191"/>
  <c r="K64" i="191"/>
  <c r="J64" i="191"/>
  <c r="I64" i="191"/>
  <c r="H64" i="191"/>
  <c r="G64" i="191"/>
  <c r="F64" i="191"/>
  <c r="E64" i="191"/>
  <c r="N63" i="191"/>
  <c r="M63" i="191"/>
  <c r="L63" i="191"/>
  <c r="K63" i="191"/>
  <c r="J63" i="191"/>
  <c r="I63" i="191"/>
  <c r="H63" i="191"/>
  <c r="G63" i="191"/>
  <c r="F63" i="191"/>
  <c r="E63" i="191"/>
  <c r="N62" i="191"/>
  <c r="M62" i="191"/>
  <c r="L62" i="191"/>
  <c r="K62" i="191"/>
  <c r="J62" i="191"/>
  <c r="I62" i="191"/>
  <c r="H62" i="191"/>
  <c r="G62" i="191"/>
  <c r="F62" i="191"/>
  <c r="E62" i="191"/>
  <c r="N61" i="191"/>
  <c r="M61" i="191"/>
  <c r="L61" i="191"/>
  <c r="K61" i="191"/>
  <c r="J61" i="191"/>
  <c r="I61" i="191"/>
  <c r="H61" i="191"/>
  <c r="G61" i="191"/>
  <c r="F61" i="191"/>
  <c r="E61" i="191"/>
  <c r="N60" i="191"/>
  <c r="M60" i="191"/>
  <c r="L60" i="191"/>
  <c r="K60" i="191"/>
  <c r="J60" i="191"/>
  <c r="I60" i="191"/>
  <c r="H60" i="191"/>
  <c r="G60" i="191"/>
  <c r="F60" i="191"/>
  <c r="E60" i="191"/>
  <c r="N59" i="191"/>
  <c r="M59" i="191"/>
  <c r="L59" i="191"/>
  <c r="K59" i="191"/>
  <c r="J59" i="191"/>
  <c r="I59" i="191"/>
  <c r="H59" i="191"/>
  <c r="G59" i="191"/>
  <c r="F59" i="191"/>
  <c r="E59" i="191"/>
  <c r="N58" i="191"/>
  <c r="M58" i="191"/>
  <c r="L58" i="191"/>
  <c r="K58" i="191"/>
  <c r="J58" i="191"/>
  <c r="I58" i="191"/>
  <c r="H58" i="191"/>
  <c r="G58" i="191"/>
  <c r="F58" i="191"/>
  <c r="E58" i="191"/>
  <c r="N57" i="191"/>
  <c r="M57" i="191"/>
  <c r="L57" i="191"/>
  <c r="K57" i="191"/>
  <c r="J57" i="191"/>
  <c r="I57" i="191"/>
  <c r="H57" i="191"/>
  <c r="G57" i="191"/>
  <c r="F57" i="191"/>
  <c r="E57" i="191"/>
  <c r="N56" i="191"/>
  <c r="M56" i="191"/>
  <c r="L56" i="191"/>
  <c r="K56" i="191"/>
  <c r="J56" i="191"/>
  <c r="I56" i="191"/>
  <c r="H56" i="191"/>
  <c r="G56" i="191"/>
  <c r="F56" i="191"/>
  <c r="E56" i="191"/>
  <c r="N55" i="191"/>
  <c r="M55" i="191"/>
  <c r="L55" i="191"/>
  <c r="K55" i="191"/>
  <c r="J55" i="191"/>
  <c r="I55" i="191"/>
  <c r="H55" i="191"/>
  <c r="G55" i="191"/>
  <c r="F55" i="191"/>
  <c r="E55" i="191"/>
  <c r="N54" i="191"/>
  <c r="M54" i="191"/>
  <c r="L54" i="191"/>
  <c r="K54" i="191"/>
  <c r="J54" i="191"/>
  <c r="I54" i="191"/>
  <c r="H54" i="191"/>
  <c r="G54" i="191"/>
  <c r="F54" i="191"/>
  <c r="E54" i="191"/>
  <c r="N53" i="191"/>
  <c r="M53" i="191"/>
  <c r="L53" i="191"/>
  <c r="K53" i="191"/>
  <c r="J53" i="191"/>
  <c r="I53" i="191"/>
  <c r="H53" i="191"/>
  <c r="G53" i="191"/>
  <c r="F53" i="191"/>
  <c r="E53" i="191"/>
  <c r="N52" i="191"/>
  <c r="M52" i="191"/>
  <c r="L52" i="191"/>
  <c r="K52" i="191"/>
  <c r="J52" i="191"/>
  <c r="I52" i="191"/>
  <c r="H52" i="191"/>
  <c r="G52" i="191"/>
  <c r="F52" i="191"/>
  <c r="E52" i="191"/>
  <c r="N51" i="191"/>
  <c r="M51" i="191"/>
  <c r="L51" i="191"/>
  <c r="K51" i="191"/>
  <c r="J51" i="191"/>
  <c r="I51" i="191"/>
  <c r="H51" i="191"/>
  <c r="G51" i="191"/>
  <c r="F51" i="191"/>
  <c r="E51" i="191"/>
  <c r="N50" i="191"/>
  <c r="M50" i="191"/>
  <c r="L50" i="191"/>
  <c r="K50" i="191"/>
  <c r="J50" i="191"/>
  <c r="I50" i="191"/>
  <c r="H50" i="191"/>
  <c r="G50" i="191"/>
  <c r="F50" i="191"/>
  <c r="E50" i="191"/>
  <c r="N49" i="191"/>
  <c r="M49" i="191"/>
  <c r="L49" i="191"/>
  <c r="K49" i="191"/>
  <c r="J49" i="191"/>
  <c r="I49" i="191"/>
  <c r="H49" i="191"/>
  <c r="G49" i="191"/>
  <c r="F49" i="191"/>
  <c r="E49" i="191"/>
  <c r="N48" i="191"/>
  <c r="M48" i="191"/>
  <c r="L48" i="191"/>
  <c r="K48" i="191"/>
  <c r="J48" i="191"/>
  <c r="I48" i="191"/>
  <c r="H48" i="191"/>
  <c r="G48" i="191"/>
  <c r="F48" i="191"/>
  <c r="E48" i="191"/>
  <c r="N47" i="191"/>
  <c r="M47" i="191"/>
  <c r="L47" i="191"/>
  <c r="K47" i="191"/>
  <c r="J47" i="191"/>
  <c r="I47" i="191"/>
  <c r="H47" i="191"/>
  <c r="G47" i="191"/>
  <c r="F47" i="191"/>
  <c r="E47" i="191"/>
  <c r="N45" i="191"/>
  <c r="M45" i="191"/>
  <c r="L45" i="191"/>
  <c r="K45" i="191"/>
  <c r="J45" i="191"/>
  <c r="I45" i="191"/>
  <c r="H45" i="191"/>
  <c r="G45" i="191"/>
  <c r="F45" i="191"/>
  <c r="E45" i="191"/>
  <c r="N43" i="191"/>
  <c r="M43" i="191"/>
  <c r="L43" i="191"/>
  <c r="K43" i="191"/>
  <c r="J43" i="191"/>
  <c r="I43" i="191"/>
  <c r="H43" i="191"/>
  <c r="G43" i="191"/>
  <c r="F43" i="191"/>
  <c r="E43" i="191"/>
  <c r="N42" i="191"/>
  <c r="M42" i="191"/>
  <c r="L42" i="191"/>
  <c r="K42" i="191"/>
  <c r="J42" i="191"/>
  <c r="I42" i="191"/>
  <c r="H42" i="191"/>
  <c r="G42" i="191"/>
  <c r="F42" i="191"/>
  <c r="E42" i="191"/>
  <c r="N41" i="191"/>
  <c r="M41" i="191"/>
  <c r="L41" i="191"/>
  <c r="K41" i="191"/>
  <c r="J41" i="191"/>
  <c r="I41" i="191"/>
  <c r="H41" i="191"/>
  <c r="G41" i="191"/>
  <c r="F41" i="191"/>
  <c r="E41" i="191"/>
  <c r="N40" i="191"/>
  <c r="M40" i="191"/>
  <c r="L40" i="191"/>
  <c r="K40" i="191"/>
  <c r="J40" i="191"/>
  <c r="I40" i="191"/>
  <c r="H40" i="191"/>
  <c r="G40" i="191"/>
  <c r="F40" i="191"/>
  <c r="E40" i="191"/>
  <c r="N39" i="191"/>
  <c r="M39" i="191"/>
  <c r="L39" i="191"/>
  <c r="K39" i="191"/>
  <c r="J39" i="191"/>
  <c r="I39" i="191"/>
  <c r="H39" i="191"/>
  <c r="G39" i="191"/>
  <c r="F39" i="191"/>
  <c r="E39" i="191"/>
  <c r="N35" i="191"/>
  <c r="M35" i="191"/>
  <c r="L35" i="191"/>
  <c r="J35" i="191"/>
  <c r="I35" i="191"/>
  <c r="H35" i="191"/>
  <c r="G35" i="191"/>
  <c r="F35" i="191"/>
  <c r="E35" i="191"/>
  <c r="N33" i="191"/>
  <c r="M33" i="191"/>
  <c r="L33" i="191"/>
  <c r="K33" i="191"/>
  <c r="J33" i="191"/>
  <c r="I33" i="191"/>
  <c r="H33" i="191"/>
  <c r="G33" i="191"/>
  <c r="F33" i="191"/>
  <c r="E33" i="191"/>
  <c r="N32" i="191"/>
  <c r="M32" i="191"/>
  <c r="L32" i="191"/>
  <c r="K32" i="191"/>
  <c r="J32" i="191"/>
  <c r="I32" i="191"/>
  <c r="H32" i="191"/>
  <c r="G32" i="191"/>
  <c r="F32" i="191"/>
  <c r="E32" i="191"/>
  <c r="N30" i="191"/>
  <c r="M30" i="191"/>
  <c r="L30" i="191"/>
  <c r="K30" i="191"/>
  <c r="J30" i="191"/>
  <c r="I30" i="191"/>
  <c r="H30" i="191"/>
  <c r="G30" i="191"/>
  <c r="F30" i="191"/>
  <c r="E30" i="191"/>
  <c r="N29" i="191"/>
  <c r="M29" i="191"/>
  <c r="L29" i="191"/>
  <c r="K29" i="191"/>
  <c r="J29" i="191"/>
  <c r="I29" i="191"/>
  <c r="H29" i="191"/>
  <c r="G29" i="191"/>
  <c r="F29" i="191"/>
  <c r="E29" i="191"/>
  <c r="N27" i="191"/>
  <c r="M27" i="191"/>
  <c r="L27" i="191"/>
  <c r="K27" i="191"/>
  <c r="J27" i="191"/>
  <c r="I27" i="191"/>
  <c r="H27" i="191"/>
  <c r="G27" i="191"/>
  <c r="F27" i="191"/>
  <c r="E27" i="191"/>
  <c r="N26" i="191"/>
  <c r="M26" i="191"/>
  <c r="L26" i="191"/>
  <c r="K26" i="191"/>
  <c r="J26" i="191"/>
  <c r="I26" i="191"/>
  <c r="H26" i="191"/>
  <c r="G26" i="191"/>
  <c r="F26" i="191"/>
  <c r="E26" i="191"/>
  <c r="N25" i="191"/>
  <c r="M25" i="191"/>
  <c r="L25" i="191"/>
  <c r="K25" i="191"/>
  <c r="J25" i="191"/>
  <c r="I25" i="191"/>
  <c r="H25" i="191"/>
  <c r="H36" i="191" s="1"/>
  <c r="G25" i="191"/>
  <c r="F25" i="191"/>
  <c r="E25" i="191"/>
  <c r="N21" i="191"/>
  <c r="M21" i="191"/>
  <c r="L21" i="191"/>
  <c r="K21" i="191"/>
  <c r="J21" i="191"/>
  <c r="I21" i="191"/>
  <c r="H21" i="191"/>
  <c r="H22" i="191" s="1"/>
  <c r="G21" i="191"/>
  <c r="F21" i="191"/>
  <c r="E21" i="191"/>
  <c r="N17" i="191"/>
  <c r="M17" i="191"/>
  <c r="L17" i="191"/>
  <c r="K17" i="191"/>
  <c r="J17" i="191"/>
  <c r="I17" i="191"/>
  <c r="H17" i="191"/>
  <c r="G17" i="191"/>
  <c r="F17" i="191"/>
  <c r="E17" i="191"/>
  <c r="O17" i="191" s="1"/>
  <c r="N15" i="191"/>
  <c r="M15" i="191"/>
  <c r="L15" i="191"/>
  <c r="K15" i="191"/>
  <c r="J15" i="191"/>
  <c r="I15" i="191"/>
  <c r="H15" i="191"/>
  <c r="G15" i="191"/>
  <c r="O15" i="191" s="1"/>
  <c r="F15" i="191"/>
  <c r="E15" i="191"/>
  <c r="N13" i="191"/>
  <c r="M13" i="191"/>
  <c r="L13" i="191"/>
  <c r="K13" i="191"/>
  <c r="J13" i="191"/>
  <c r="I13" i="191"/>
  <c r="H13" i="191"/>
  <c r="G13" i="191"/>
  <c r="F13" i="191"/>
  <c r="E13" i="191"/>
  <c r="N11" i="191"/>
  <c r="M11" i="191"/>
  <c r="L11" i="191"/>
  <c r="K11" i="191"/>
  <c r="J11" i="191"/>
  <c r="I11" i="191"/>
  <c r="H11" i="191"/>
  <c r="G11" i="191"/>
  <c r="F11" i="191"/>
  <c r="E11" i="191"/>
  <c r="N7" i="191"/>
  <c r="N8" i="191" s="1"/>
  <c r="M7" i="191"/>
  <c r="M8" i="191" s="1"/>
  <c r="L7" i="191"/>
  <c r="L8" i="191" s="1"/>
  <c r="K7" i="191"/>
  <c r="K8" i="191" s="1"/>
  <c r="J7" i="191"/>
  <c r="J8" i="191" s="1"/>
  <c r="I7" i="191"/>
  <c r="I8" i="191" s="1"/>
  <c r="H7" i="191"/>
  <c r="H8" i="191" s="1"/>
  <c r="G7" i="191"/>
  <c r="G8" i="191" s="1"/>
  <c r="F7" i="191"/>
  <c r="F8" i="191" s="1"/>
  <c r="E7" i="191"/>
  <c r="E8" i="191" s="1"/>
  <c r="L15" i="190"/>
  <c r="J15" i="190"/>
  <c r="I15" i="190"/>
  <c r="H15" i="190"/>
  <c r="G15" i="190"/>
  <c r="F15" i="190"/>
  <c r="E15" i="190"/>
  <c r="D15" i="190"/>
  <c r="M13" i="190"/>
  <c r="L13" i="190"/>
  <c r="K13" i="190"/>
  <c r="J13" i="190"/>
  <c r="I13" i="190"/>
  <c r="H13" i="190"/>
  <c r="G13" i="190"/>
  <c r="F13" i="190"/>
  <c r="E13" i="190"/>
  <c r="D13" i="190"/>
  <c r="N12" i="190"/>
  <c r="M11" i="190"/>
  <c r="L11" i="190"/>
  <c r="K11" i="190"/>
  <c r="J11" i="190"/>
  <c r="I11" i="190"/>
  <c r="H11" i="190"/>
  <c r="G11" i="190"/>
  <c r="F11" i="190"/>
  <c r="E11" i="190"/>
  <c r="D11" i="190"/>
  <c r="M10" i="190"/>
  <c r="L10" i="190"/>
  <c r="K10" i="190"/>
  <c r="J10" i="190"/>
  <c r="I10" i="190"/>
  <c r="H10" i="190"/>
  <c r="G10" i="190"/>
  <c r="F10" i="190"/>
  <c r="E10" i="190"/>
  <c r="D10" i="190"/>
  <c r="M9" i="190"/>
  <c r="L9" i="190"/>
  <c r="K9" i="190"/>
  <c r="J9" i="190"/>
  <c r="I9" i="190"/>
  <c r="H9" i="190"/>
  <c r="G9" i="190"/>
  <c r="F9" i="190"/>
  <c r="E9" i="190"/>
  <c r="D9" i="190"/>
  <c r="M8" i="190"/>
  <c r="L8" i="190"/>
  <c r="K8" i="190"/>
  <c r="J8" i="190"/>
  <c r="I8" i="190"/>
  <c r="H8" i="190"/>
  <c r="G8" i="190"/>
  <c r="F8" i="190"/>
  <c r="E8" i="190"/>
  <c r="D8" i="190"/>
  <c r="M7" i="190"/>
  <c r="L7" i="190"/>
  <c r="K7" i="190"/>
  <c r="J7" i="190"/>
  <c r="I7" i="190"/>
  <c r="H7" i="190"/>
  <c r="G7" i="190"/>
  <c r="F7" i="190"/>
  <c r="E7" i="190"/>
  <c r="D7" i="190"/>
  <c r="M6" i="190"/>
  <c r="L6" i="190"/>
  <c r="K6" i="190"/>
  <c r="J6" i="190"/>
  <c r="I6" i="190"/>
  <c r="H6" i="190"/>
  <c r="G6" i="190"/>
  <c r="F6" i="190"/>
  <c r="E6" i="190"/>
  <c r="D6" i="190"/>
  <c r="M5" i="190"/>
  <c r="L5" i="190"/>
  <c r="K5" i="190"/>
  <c r="J5" i="190"/>
  <c r="I5" i="190"/>
  <c r="H5" i="190"/>
  <c r="G5" i="190"/>
  <c r="F5" i="190"/>
  <c r="E5" i="190"/>
  <c r="D5" i="190"/>
  <c r="M4" i="190"/>
  <c r="L4" i="190"/>
  <c r="K4" i="190"/>
  <c r="J4" i="190"/>
  <c r="I4" i="190"/>
  <c r="H4" i="190"/>
  <c r="G4" i="190"/>
  <c r="F4" i="190"/>
  <c r="E4" i="190"/>
  <c r="D4" i="190"/>
  <c r="D3" i="189"/>
  <c r="E3" i="189" s="1"/>
  <c r="D4" i="189"/>
  <c r="E4" i="189" s="1"/>
  <c r="D5" i="189"/>
  <c r="E5" i="189" s="1"/>
  <c r="D6" i="189"/>
  <c r="E6" i="189" s="1"/>
  <c r="D7" i="189"/>
  <c r="E7" i="189" s="1"/>
  <c r="D9" i="189"/>
  <c r="E9" i="189" s="1"/>
  <c r="D10" i="189"/>
  <c r="E10" i="189" s="1"/>
  <c r="D11" i="189"/>
  <c r="E11" i="189" s="1"/>
  <c r="D14" i="189"/>
  <c r="E14" i="189" s="1"/>
  <c r="L39" i="185"/>
  <c r="L51" i="185"/>
  <c r="M39" i="185"/>
  <c r="N39" i="185"/>
  <c r="N51" i="185" s="1"/>
  <c r="O39" i="185"/>
  <c r="P39" i="185"/>
  <c r="P51" i="185" s="1"/>
  <c r="Q39" i="185"/>
  <c r="Q51" i="185"/>
  <c r="R39" i="185"/>
  <c r="R51" i="185" s="1"/>
  <c r="R50" i="185"/>
  <c r="Q50" i="185"/>
  <c r="P50" i="185"/>
  <c r="O50" i="185"/>
  <c r="N50" i="185"/>
  <c r="M50" i="185"/>
  <c r="M51" i="185" s="1"/>
  <c r="K50" i="185"/>
  <c r="J50" i="185"/>
  <c r="I50" i="185"/>
  <c r="G50" i="185"/>
  <c r="G51" i="185" s="1"/>
  <c r="E50" i="185"/>
  <c r="D50" i="185"/>
  <c r="C50" i="185"/>
  <c r="F49" i="185"/>
  <c r="H49" i="185"/>
  <c r="F48" i="185"/>
  <c r="H48" i="185"/>
  <c r="F46" i="185"/>
  <c r="H46" i="185"/>
  <c r="F45" i="185"/>
  <c r="H45" i="185"/>
  <c r="F44" i="185"/>
  <c r="H44" i="185" s="1"/>
  <c r="F50" i="185"/>
  <c r="F42" i="185"/>
  <c r="H42" i="185"/>
  <c r="H50" i="185" s="1"/>
  <c r="K39" i="185"/>
  <c r="K51" i="185"/>
  <c r="J39" i="185"/>
  <c r="J51" i="185"/>
  <c r="I39" i="185"/>
  <c r="I51" i="185"/>
  <c r="G39" i="185"/>
  <c r="E39" i="185"/>
  <c r="E51" i="185"/>
  <c r="D39" i="185"/>
  <c r="D51" i="185"/>
  <c r="C39" i="185"/>
  <c r="C51" i="185"/>
  <c r="F38" i="185"/>
  <c r="H36" i="185"/>
  <c r="F34" i="185"/>
  <c r="H34" i="185"/>
  <c r="F33" i="185"/>
  <c r="H33" i="185"/>
  <c r="F32" i="185"/>
  <c r="H32" i="185"/>
  <c r="F31" i="185"/>
  <c r="H31" i="185"/>
  <c r="F30" i="185"/>
  <c r="H30" i="185"/>
  <c r="F29" i="185"/>
  <c r="F28" i="185"/>
  <c r="H28" i="185"/>
  <c r="F27" i="185"/>
  <c r="H27" i="185" s="1"/>
  <c r="F26" i="185"/>
  <c r="H26" i="185"/>
  <c r="F25" i="185"/>
  <c r="H25" i="185" s="1"/>
  <c r="F24" i="185"/>
  <c r="H24" i="185"/>
  <c r="F23" i="185"/>
  <c r="F22" i="185"/>
  <c r="H22" i="185"/>
  <c r="F21" i="185"/>
  <c r="H21" i="185"/>
  <c r="F20" i="185"/>
  <c r="H20" i="185"/>
  <c r="F19" i="185"/>
  <c r="H19" i="185"/>
  <c r="F18" i="185"/>
  <c r="H18" i="185"/>
  <c r="F17" i="185"/>
  <c r="H17" i="185"/>
  <c r="F16" i="185"/>
  <c r="H16" i="185"/>
  <c r="F15" i="185"/>
  <c r="H15" i="185"/>
  <c r="F14" i="185"/>
  <c r="H14" i="185"/>
  <c r="F13" i="185"/>
  <c r="F12" i="185"/>
  <c r="H12" i="185" s="1"/>
  <c r="F11" i="185"/>
  <c r="H11" i="185"/>
  <c r="F10" i="185"/>
  <c r="H10" i="185" s="1"/>
  <c r="F9" i="185"/>
  <c r="H9" i="185"/>
  <c r="F8" i="185"/>
  <c r="H8" i="185" s="1"/>
  <c r="F7" i="185"/>
  <c r="H7" i="185"/>
  <c r="F6" i="185"/>
  <c r="F5" i="185"/>
  <c r="F39" i="185"/>
  <c r="F51" i="185" s="1"/>
  <c r="H5" i="185"/>
  <c r="H39" i="185" s="1"/>
  <c r="H51" i="185" s="1"/>
  <c r="H6" i="185"/>
  <c r="C13" i="182"/>
  <c r="C22" i="182" s="1"/>
  <c r="D13" i="182"/>
  <c r="D22" i="182" s="1"/>
  <c r="B13" i="182"/>
  <c r="N23" i="184"/>
  <c r="N22" i="184"/>
  <c r="N21" i="184"/>
  <c r="N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N6" i="184"/>
  <c r="M4" i="184"/>
  <c r="M24" i="184"/>
  <c r="L4" i="184"/>
  <c r="L24" i="184"/>
  <c r="K4" i="184"/>
  <c r="K24" i="184"/>
  <c r="J4" i="184"/>
  <c r="J24" i="184"/>
  <c r="I4" i="184"/>
  <c r="I24" i="184"/>
  <c r="H4" i="184"/>
  <c r="H24" i="184"/>
  <c r="G4" i="184"/>
  <c r="G24" i="184"/>
  <c r="F4" i="184"/>
  <c r="F24" i="184"/>
  <c r="E4" i="184"/>
  <c r="E24" i="184"/>
  <c r="D4" i="184"/>
  <c r="D24" i="184"/>
  <c r="C4" i="184"/>
  <c r="C24" i="184"/>
  <c r="B4" i="184"/>
  <c r="B24" i="184"/>
  <c r="N3" i="184"/>
  <c r="N2" i="184"/>
  <c r="N4" i="184" s="1"/>
  <c r="M22" i="183"/>
  <c r="L22" i="183"/>
  <c r="K22" i="183"/>
  <c r="J22" i="183"/>
  <c r="I22" i="183"/>
  <c r="H22" i="183"/>
  <c r="G22" i="183"/>
  <c r="F22" i="183"/>
  <c r="E22" i="183"/>
  <c r="D22" i="183"/>
  <c r="C22" i="183"/>
  <c r="B22" i="183"/>
  <c r="N22" i="183" s="1"/>
  <c r="N21" i="183"/>
  <c r="N20" i="183"/>
  <c r="N19" i="183"/>
  <c r="N18" i="183"/>
  <c r="N17" i="183"/>
  <c r="N16" i="183"/>
  <c r="N15" i="183"/>
  <c r="N14" i="183"/>
  <c r="N13" i="183"/>
  <c r="N12" i="183"/>
  <c r="N11" i="183"/>
  <c r="N10" i="183"/>
  <c r="N9" i="183"/>
  <c r="N8" i="183"/>
  <c r="N7" i="183"/>
  <c r="N6" i="183"/>
  <c r="N5" i="183"/>
  <c r="N4" i="183"/>
  <c r="N2" i="183"/>
  <c r="C21" i="182"/>
  <c r="D21" i="182"/>
  <c r="B21" i="182"/>
  <c r="C7" i="181"/>
  <c r="O9" i="178"/>
  <c r="O11" i="178"/>
  <c r="N9" i="178"/>
  <c r="N11" i="178" s="1"/>
  <c r="M9" i="178"/>
  <c r="M11" i="178"/>
  <c r="L9" i="178"/>
  <c r="L11" i="178" s="1"/>
  <c r="K9" i="178"/>
  <c r="K11" i="178"/>
  <c r="J9" i="178"/>
  <c r="J11" i="178" s="1"/>
  <c r="I9" i="178"/>
  <c r="I11" i="178"/>
  <c r="H9" i="178"/>
  <c r="H11" i="178" s="1"/>
  <c r="G9" i="178"/>
  <c r="G11" i="178"/>
  <c r="F9" i="178"/>
  <c r="F11" i="178" s="1"/>
  <c r="E9" i="178"/>
  <c r="E11" i="178"/>
  <c r="N24" i="184"/>
  <c r="Q488" i="193" l="1"/>
  <c r="Q667" i="193" s="1"/>
  <c r="Q711" i="193"/>
  <c r="Q716" i="193" s="1"/>
  <c r="Q39" i="193"/>
  <c r="Q45" i="193" s="1"/>
  <c r="Q227" i="193"/>
  <c r="Q232" i="193" s="1"/>
  <c r="M823" i="193"/>
  <c r="M825" i="193" s="1"/>
  <c r="O81" i="191"/>
  <c r="N21" i="195"/>
  <c r="I823" i="193"/>
  <c r="I825" i="193" s="1"/>
  <c r="N8" i="190"/>
  <c r="N13" i="190"/>
  <c r="O54" i="191"/>
  <c r="O56" i="191"/>
  <c r="O58" i="191"/>
  <c r="Q800" i="193"/>
  <c r="Q808" i="193" s="1"/>
  <c r="Q680" i="193"/>
  <c r="Q692" i="193" s="1"/>
  <c r="Q171" i="193"/>
  <c r="Q220" i="193" s="1"/>
  <c r="Q347" i="193"/>
  <c r="Q474" i="193" s="1"/>
  <c r="Q822" i="193"/>
  <c r="P823" i="193"/>
  <c r="P825" i="193" s="1"/>
  <c r="G823" i="193"/>
  <c r="G825" i="193" s="1"/>
  <c r="O51" i="185"/>
  <c r="B22" i="182"/>
  <c r="O49" i="191"/>
  <c r="O53" i="191"/>
  <c r="O69" i="191"/>
  <c r="O77" i="191"/>
  <c r="O79" i="191"/>
  <c r="L114" i="191"/>
  <c r="O101" i="191"/>
  <c r="J123" i="191"/>
  <c r="N123" i="191"/>
  <c r="F158" i="191"/>
  <c r="J158" i="191"/>
  <c r="N158" i="191"/>
  <c r="E169" i="191"/>
  <c r="N12" i="192"/>
  <c r="O13" i="191"/>
  <c r="E36" i="191"/>
  <c r="I36" i="191"/>
  <c r="M36" i="191"/>
  <c r="O11" i="191"/>
  <c r="K18" i="191"/>
  <c r="O65" i="191"/>
  <c r="O96" i="191"/>
  <c r="O166" i="191"/>
  <c r="N8" i="192"/>
  <c r="F14" i="190"/>
  <c r="F16" i="190" s="1"/>
  <c r="N5" i="190"/>
  <c r="H14" i="190"/>
  <c r="H16" i="190" s="1"/>
  <c r="N7" i="190"/>
  <c r="E18" i="191"/>
  <c r="L36" i="191"/>
  <c r="O26" i="191"/>
  <c r="O43" i="191"/>
  <c r="O47" i="191"/>
  <c r="O85" i="191"/>
  <c r="O86" i="191"/>
  <c r="O88" i="191"/>
  <c r="O94" i="191"/>
  <c r="O120" i="191"/>
  <c r="O121" i="191"/>
  <c r="I158" i="191"/>
  <c r="M158" i="191"/>
  <c r="O128" i="191"/>
  <c r="O129" i="191"/>
  <c r="O132" i="191"/>
  <c r="O133" i="191"/>
  <c r="O137" i="191"/>
  <c r="O138" i="191"/>
  <c r="O141" i="191"/>
  <c r="O142" i="191"/>
  <c r="O146" i="191"/>
  <c r="O147" i="191"/>
  <c r="O150" i="191"/>
  <c r="O151" i="191"/>
  <c r="O157" i="191"/>
  <c r="H169" i="191"/>
  <c r="L169" i="191"/>
  <c r="F169" i="191"/>
  <c r="E12" i="189"/>
  <c r="D8" i="189"/>
  <c r="K14" i="190"/>
  <c r="K16" i="190" s="1"/>
  <c r="N9" i="190"/>
  <c r="N11" i="190"/>
  <c r="N15" i="190"/>
  <c r="H18" i="191"/>
  <c r="F36" i="191"/>
  <c r="O27" i="191"/>
  <c r="O35" i="191"/>
  <c r="F89" i="191"/>
  <c r="J89" i="191"/>
  <c r="N89" i="191"/>
  <c r="O73" i="191"/>
  <c r="O83" i="191"/>
  <c r="G114" i="191"/>
  <c r="K114" i="191"/>
  <c r="K123" i="191"/>
  <c r="O118" i="191"/>
  <c r="O131" i="191"/>
  <c r="O136" i="191"/>
  <c r="O140" i="191"/>
  <c r="O144" i="191"/>
  <c r="O149" i="191"/>
  <c r="O155" i="191"/>
  <c r="I169" i="191"/>
  <c r="M169" i="191"/>
  <c r="O167" i="191"/>
  <c r="M16" i="192"/>
  <c r="M18" i="192" s="1"/>
  <c r="N9" i="192"/>
  <c r="N11" i="192"/>
  <c r="N17" i="192"/>
  <c r="D12" i="189"/>
  <c r="D14" i="190"/>
  <c r="D16" i="190" s="1"/>
  <c r="L14" i="190"/>
  <c r="L16" i="190" s="1"/>
  <c r="J14" i="190"/>
  <c r="J16" i="190" s="1"/>
  <c r="N6" i="190"/>
  <c r="G14" i="190"/>
  <c r="G16" i="190" s="1"/>
  <c r="O21" i="191"/>
  <c r="O22" i="191" s="1"/>
  <c r="O30" i="191"/>
  <c r="O40" i="191"/>
  <c r="O61" i="191"/>
  <c r="O63" i="191"/>
  <c r="O70" i="191"/>
  <c r="O72" i="191"/>
  <c r="O74" i="191"/>
  <c r="O87" i="191"/>
  <c r="O92" i="191"/>
  <c r="H114" i="191"/>
  <c r="O104" i="191"/>
  <c r="O122" i="191"/>
  <c r="F16" i="192"/>
  <c r="F18" i="192" s="1"/>
  <c r="J16" i="192"/>
  <c r="J18" i="192" s="1"/>
  <c r="N6" i="192"/>
  <c r="N13" i="192"/>
  <c r="N15" i="192"/>
  <c r="E14" i="190"/>
  <c r="E16" i="190" s="1"/>
  <c r="I14" i="190"/>
  <c r="I16" i="190" s="1"/>
  <c r="M14" i="190"/>
  <c r="M16" i="190" s="1"/>
  <c r="N10" i="190"/>
  <c r="F18" i="191"/>
  <c r="O29" i="191"/>
  <c r="O32" i="191"/>
  <c r="O57" i="191"/>
  <c r="O98" i="191"/>
  <c r="O102" i="191"/>
  <c r="O108" i="191"/>
  <c r="G123" i="191"/>
  <c r="H158" i="191"/>
  <c r="O171" i="191"/>
  <c r="G16" i="192"/>
  <c r="G18" i="192" s="1"/>
  <c r="K16" i="192"/>
  <c r="K18" i="192" s="1"/>
  <c r="I16" i="192"/>
  <c r="I18" i="192" s="1"/>
  <c r="N10" i="192"/>
  <c r="G89" i="191"/>
  <c r="J169" i="191"/>
  <c r="N169" i="191"/>
  <c r="O18" i="191"/>
  <c r="E8" i="189"/>
  <c r="E13" i="189" s="1"/>
  <c r="E15" i="189" s="1"/>
  <c r="E158" i="191"/>
  <c r="N4" i="190"/>
  <c r="I18" i="191"/>
  <c r="M18" i="191"/>
  <c r="O25" i="191"/>
  <c r="K36" i="191"/>
  <c r="H89" i="191"/>
  <c r="L89" i="191"/>
  <c r="O45" i="191"/>
  <c r="O48" i="191"/>
  <c r="O55" i="191"/>
  <c r="O62" i="191"/>
  <c r="O64" i="191"/>
  <c r="O71" i="191"/>
  <c r="O78" i="191"/>
  <c r="O80" i="191"/>
  <c r="O100" i="191"/>
  <c r="O113" i="191"/>
  <c r="H123" i="191"/>
  <c r="L123" i="191"/>
  <c r="O126" i="191"/>
  <c r="G158" i="191"/>
  <c r="K158" i="191"/>
  <c r="H16" i="192"/>
  <c r="H18" i="192" s="1"/>
  <c r="O106" i="191"/>
  <c r="F123" i="191"/>
  <c r="O117" i="191"/>
  <c r="D16" i="192"/>
  <c r="D18" i="192" s="1"/>
  <c r="O7" i="191"/>
  <c r="O8" i="191" s="1"/>
  <c r="G18" i="191"/>
  <c r="J18" i="191"/>
  <c r="N18" i="191"/>
  <c r="O33" i="191"/>
  <c r="O39" i="191"/>
  <c r="E89" i="191"/>
  <c r="I89" i="191"/>
  <c r="M89" i="191"/>
  <c r="O41" i="191"/>
  <c r="O50" i="191"/>
  <c r="O52" i="191"/>
  <c r="O59" i="191"/>
  <c r="O66" i="191"/>
  <c r="O68" i="191"/>
  <c r="O75" i="191"/>
  <c r="O82" i="191"/>
  <c r="O84" i="191"/>
  <c r="I114" i="191"/>
  <c r="M114" i="191"/>
  <c r="O99" i="191"/>
  <c r="O103" i="191"/>
  <c r="O111" i="191"/>
  <c r="E123" i="191"/>
  <c r="I123" i="191"/>
  <c r="M123" i="191"/>
  <c r="O119" i="191"/>
  <c r="O130" i="191"/>
  <c r="O135" i="191"/>
  <c r="O139" i="191"/>
  <c r="O143" i="191"/>
  <c r="O148" i="191"/>
  <c r="O153" i="191"/>
  <c r="K169" i="191"/>
  <c r="O164" i="191"/>
  <c r="O168" i="191"/>
  <c r="E114" i="191"/>
  <c r="E16" i="192"/>
  <c r="E18" i="192" s="1"/>
  <c r="N5" i="192"/>
  <c r="L16" i="192"/>
  <c r="L18" i="192" s="1"/>
  <c r="N7" i="192"/>
  <c r="N14" i="192"/>
  <c r="L18" i="191"/>
  <c r="G36" i="191"/>
  <c r="J36" i="191"/>
  <c r="N36" i="191"/>
  <c r="K89" i="191"/>
  <c r="O42" i="191"/>
  <c r="O51" i="191"/>
  <c r="O60" i="191"/>
  <c r="O67" i="191"/>
  <c r="O76" i="191"/>
  <c r="O97" i="191"/>
  <c r="O163" i="191"/>
  <c r="Q823" i="193" l="1"/>
  <c r="Q825" i="193" s="1"/>
  <c r="N170" i="191"/>
  <c r="N172" i="191" s="1"/>
  <c r="N14" i="190"/>
  <c r="L170" i="191"/>
  <c r="L172" i="191" s="1"/>
  <c r="I170" i="191"/>
  <c r="I172" i="191" s="1"/>
  <c r="O114" i="191"/>
  <c r="F170" i="191"/>
  <c r="F172" i="191" s="1"/>
  <c r="N16" i="190"/>
  <c r="G170" i="191"/>
  <c r="G172" i="191" s="1"/>
  <c r="K170" i="191"/>
  <c r="K172" i="191" s="1"/>
  <c r="E170" i="191"/>
  <c r="E172" i="191" s="1"/>
  <c r="J170" i="191"/>
  <c r="J172" i="191" s="1"/>
  <c r="M170" i="191"/>
  <c r="M172" i="191" s="1"/>
  <c r="D13" i="189"/>
  <c r="D15" i="189" s="1"/>
  <c r="H170" i="191"/>
  <c r="H172" i="191" s="1"/>
  <c r="O36" i="191"/>
  <c r="O169" i="191"/>
  <c r="N16" i="192"/>
  <c r="N18" i="192" s="1"/>
  <c r="O89" i="191"/>
  <c r="O158" i="191"/>
  <c r="O123" i="191"/>
  <c r="O170" i="191" l="1"/>
  <c r="O172" i="191" s="1"/>
</calcChain>
</file>

<file path=xl/sharedStrings.xml><?xml version="1.0" encoding="utf-8"?>
<sst xmlns="http://schemas.openxmlformats.org/spreadsheetml/2006/main" count="2065" uniqueCount="1586">
  <si>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</si>
  <si>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</si>
  <si>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</si>
  <si>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</si>
  <si>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</si>
  <si>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</si>
  <si>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</si>
  <si>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</si>
  <si>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</si>
  <si>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</si>
  <si>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</si>
  <si>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</si>
  <si>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</si>
  <si>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</si>
  <si>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</si>
  <si>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</si>
  <si>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</si>
  <si>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</si>
  <si>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</si>
  <si>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</si>
  <si>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</si>
  <si>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</si>
  <si>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</si>
  <si>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</si>
  <si>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</si>
  <si>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</si>
  <si>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</si>
  <si>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</si>
  <si>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</si>
  <si>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</si>
  <si>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</si>
  <si>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</si>
  <si>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</si>
  <si>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</si>
  <si>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</si>
  <si>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</si>
  <si>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</si>
  <si>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</si>
  <si>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</si>
  <si>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</si>
  <si>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</si>
  <si>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</si>
  <si>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</si>
  <si>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>Módosítás összege</t>
  </si>
  <si>
    <t>2020. évi  módosított előirányzat</t>
  </si>
  <si>
    <t>2020. évi módosított előirányzat</t>
  </si>
  <si>
    <t>2020. évi bevétel eredeti előirányzata</t>
  </si>
  <si>
    <t>2020. évi bevétel módosított előirányzata</t>
  </si>
  <si>
    <t>A települési önkormányzatok működésének támogatása beszámítás és kiegészítés után</t>
  </si>
  <si>
    <t>I. Működési célú támogatások</t>
  </si>
  <si>
    <t>11. A költségvetési szerveknél foglalkoztatottak 2019. évi áthúzódó és 2020. évi kompenzációja</t>
  </si>
  <si>
    <t>12. Szociális ágazati összevont pótlék és egészségügyi kiegészítő pótlék</t>
  </si>
  <si>
    <t xml:space="preserve"> - szociális ágazati összevont pótlék</t>
  </si>
  <si>
    <t xml:space="preserve"> - egészségügyi kiegészítő pótlék</t>
  </si>
  <si>
    <t>14. Kulturális illetménypótlék</t>
  </si>
  <si>
    <t>III. Vis maior támogatás</t>
  </si>
  <si>
    <t xml:space="preserve"> - ZALAVÍZ Zrt. nem vÍziközmű után fizetendő bérleti díj</t>
  </si>
  <si>
    <t xml:space="preserve"> - Városi uszoda kültéri medence bérleti díja</t>
  </si>
  <si>
    <t xml:space="preserve"> - helyi önkormányzatok kiegészítő állami támogatásai</t>
  </si>
  <si>
    <t xml:space="preserve"> - Felhalmozási célú önkormányzati támogatás</t>
  </si>
  <si>
    <t xml:space="preserve"> - államháztartáson belüli megelőlegezés</t>
  </si>
  <si>
    <t xml:space="preserve"> - Országos Vadpörkölt és Borfesztivál megrendezése</t>
  </si>
  <si>
    <t xml:space="preserve"> - településrészi önkormányzatok</t>
  </si>
  <si>
    <t>2216*</t>
  </si>
  <si>
    <t xml:space="preserve"> - fogászati alapellátás  önkormányzati támogatása</t>
  </si>
  <si>
    <t>074040 Fertőző megbetegedések megelőzése,járványügyi ellátás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</si>
  <si>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</si>
  <si>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</si>
  <si>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</si>
  <si>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</si>
  <si>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</si>
  <si>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</si>
  <si>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</si>
  <si>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Városi Hangverseny és Kiállítóterem belső festés</t>
  </si>
  <si>
    <t>Tipegő bölcsőde fejlesztés</t>
  </si>
  <si>
    <t>3./5.</t>
  </si>
  <si>
    <t>Gondozási Központ Kossuth L.utcai konyha szennyvízvezeték felújítása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</si>
  <si>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</si>
  <si>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</si>
  <si>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</si>
  <si>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</si>
  <si>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</si>
  <si>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>Közösségi Ház fejlesztése Zalabesenyőben pe. átadás Besenyő a 2000-es években Alapítvány részére</t>
  </si>
  <si>
    <t xml:space="preserve"> - államháztartáson belüli megelőlegezések visszafizetése</t>
  </si>
  <si>
    <t xml:space="preserve"> - Városfejlesztő Zrt. működési kiadása</t>
  </si>
  <si>
    <t xml:space="preserve"> - Adományközpont működtetési támogatása</t>
  </si>
  <si>
    <t xml:space="preserve"> - Apáczai MK rendezvényeihez hozzájárulás, pénzeszközátadás</t>
  </si>
  <si>
    <t xml:space="preserve"> - Kárpát-medencei ifjúsági tábor</t>
  </si>
  <si>
    <t>Teljesítményösztönző keret</t>
  </si>
  <si>
    <t>Választott tisztség-viselő</t>
  </si>
  <si>
    <t xml:space="preserve">A lakásépítéshez, lakásfelújításhoz nyújtott kölcsön elengedése, a  helyiségek, eszközök  </t>
  </si>
  <si>
    <t xml:space="preserve"> kedvezményeknél a 2019. évi tény adatok álltak rendelkezésre.</t>
  </si>
  <si>
    <t>hasznosításából származó bevételből nyújtott kedvezményeknél  és az egyéb nyújtott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</si>
  <si>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</si>
  <si>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</si>
  <si>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</si>
  <si>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</si>
  <si>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</si>
  <si>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</si>
  <si>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</si>
  <si>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</si>
  <si>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2020. évben várható támogatás, kedvezmény összege             </t>
  </si>
  <si>
    <t xml:space="preserve"> - Gébárti tó környezetének rendbetétele, továbbá pe.átadás a Z.M. Horgászszövetségnek</t>
  </si>
  <si>
    <t>Zártvégű pénzügyi lízingszerződés- Edelmann Hungary Packaging Zrt. (volt Nyomda épület)</t>
  </si>
  <si>
    <t>Projekt  megnevezése</t>
  </si>
  <si>
    <t>Elnyert forrás</t>
  </si>
  <si>
    <t>Saját erő</t>
  </si>
  <si>
    <t>ÁFA visszaté-rülés</t>
  </si>
  <si>
    <t xml:space="preserve">Projekt összesen </t>
  </si>
  <si>
    <t>Projektben el nem számolható saját költségek</t>
  </si>
  <si>
    <t>Mindössze-sen</t>
  </si>
  <si>
    <t xml:space="preserve">Korábbi években kifizetett költség </t>
  </si>
  <si>
    <t>ZMJV Önkormányzata költségvetésében 2020. évben tervezett</t>
  </si>
  <si>
    <t>Tárgyévet követő terv</t>
  </si>
  <si>
    <t>Összkölt-sége</t>
  </si>
  <si>
    <t>Forrásai</t>
  </si>
  <si>
    <t>Tárgyévet megelőző kifizetések</t>
  </si>
  <si>
    <t>2018. évi terv</t>
  </si>
  <si>
    <t xml:space="preserve">Tárgyévet követő terv </t>
  </si>
  <si>
    <t>támogatás</t>
  </si>
  <si>
    <t>KEHOP-5.4.1-16-2016-00433 Szemléletformálási programok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</si>
  <si>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</si>
  <si>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</si>
  <si>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</si>
  <si>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</si>
  <si>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TOP program keretében megvalósuló projektek nem támogatott munkarészei, többletfeladatai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</si>
  <si>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</si>
  <si>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</si>
  <si>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</si>
  <si>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</si>
  <si>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</si>
  <si>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</si>
  <si>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</si>
  <si>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</si>
  <si>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</si>
  <si>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</si>
  <si>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</si>
  <si>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</si>
  <si>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</si>
  <si>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</si>
  <si>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</si>
  <si>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</si>
  <si>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</si>
  <si>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</si>
  <si>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</si>
  <si>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</si>
  <si>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</si>
  <si>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</si>
  <si>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</si>
  <si>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</si>
  <si>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</si>
  <si>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</si>
  <si>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</si>
  <si>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</si>
  <si>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</si>
  <si>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</si>
  <si>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</si>
  <si>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</si>
  <si>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</si>
  <si>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</si>
  <si>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</si>
  <si>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Hitelező</t>
  </si>
  <si>
    <t>Lejárat éve</t>
  </si>
  <si>
    <t>önkormányzat hitel állománya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</si>
  <si>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</si>
  <si>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</si>
  <si>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</si>
  <si>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</si>
  <si>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2020. évi adósságszolg.</t>
  </si>
  <si>
    <t>Későbbi évek tőketörlesztése</t>
  </si>
  <si>
    <t>Tőketörlesz- tés</t>
  </si>
  <si>
    <t>Kamat és egyéb ktg.</t>
  </si>
  <si>
    <t>Tőketörlesztés</t>
  </si>
  <si>
    <t>Zalaegerszeg  belváros közlekedési rendszerének  komplett átalakítása</t>
  </si>
  <si>
    <t>OTP</t>
  </si>
  <si>
    <t>2038.</t>
  </si>
  <si>
    <t>Közvilágítás energiatakarékos átalakítása</t>
  </si>
  <si>
    <t>2021.</t>
  </si>
  <si>
    <t>Zalaegerszegi Járműipari Tesztpályához szükséges területvásárláshoz</t>
  </si>
  <si>
    <t>2036.</t>
  </si>
  <si>
    <t>2029.</t>
  </si>
  <si>
    <t>Vizslaparki u. 48. szám alatti ingatlan pályázati forrásból történő felújítása</t>
  </si>
  <si>
    <t>2027.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</si>
  <si>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</si>
  <si>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</si>
  <si>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</si>
  <si>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</si>
  <si>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</si>
  <si>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</si>
  <si>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</si>
  <si>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</si>
  <si>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</si>
  <si>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</si>
  <si>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</si>
  <si>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</si>
  <si>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</si>
  <si>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</si>
  <si>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</si>
  <si>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</si>
  <si>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</si>
  <si>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</si>
  <si>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</si>
  <si>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</si>
  <si>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</si>
  <si>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</si>
  <si>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</si>
  <si>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</si>
  <si>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</si>
  <si>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</si>
  <si>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</si>
  <si>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</si>
  <si>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</si>
  <si>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</si>
  <si>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</si>
  <si>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</si>
  <si>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</si>
  <si>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</si>
  <si>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</si>
  <si>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</si>
  <si>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</si>
  <si>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</si>
  <si>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</si>
  <si>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</si>
  <si>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</si>
  <si>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</si>
  <si>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</si>
  <si>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</si>
  <si>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</si>
  <si>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</si>
  <si>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</si>
  <si>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</si>
  <si>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</si>
  <si>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</si>
  <si>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</si>
  <si>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</si>
  <si>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</si>
  <si>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</si>
  <si>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</si>
  <si>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2021. évi adósságszolg.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</si>
  <si>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</si>
  <si>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</si>
  <si>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</si>
  <si>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</si>
  <si>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</si>
  <si>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</si>
  <si>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</si>
  <si>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</si>
  <si>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</si>
  <si>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</si>
  <si>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</si>
  <si>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</si>
  <si>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</si>
  <si>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</si>
  <si>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</si>
  <si>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</si>
  <si>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</si>
  <si>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</si>
  <si>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</si>
  <si>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</si>
  <si>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</si>
  <si>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</si>
  <si>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</si>
  <si>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</si>
  <si>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</si>
  <si>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</si>
  <si>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</si>
  <si>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</si>
  <si>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</si>
  <si>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</si>
  <si>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</si>
  <si>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</si>
  <si>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</si>
  <si>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</si>
  <si>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</si>
  <si>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</si>
  <si>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</si>
  <si>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</si>
  <si>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</si>
  <si>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</si>
  <si>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</si>
  <si>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</si>
  <si>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</si>
  <si>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</si>
  <si>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</si>
  <si>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</si>
  <si>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</si>
  <si>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</si>
  <si>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</si>
  <si>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</si>
  <si>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</si>
  <si>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</si>
  <si>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</si>
  <si>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</si>
  <si>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</si>
  <si>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</si>
  <si>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</si>
  <si>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</si>
  <si>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</si>
  <si>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</si>
  <si>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</si>
  <si>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</si>
  <si>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</si>
  <si>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</si>
  <si>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</si>
  <si>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</si>
  <si>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</si>
  <si>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</si>
  <si>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</si>
  <si>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</si>
  <si>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</si>
  <si>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</si>
  <si>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</si>
  <si>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</si>
  <si>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</si>
  <si>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</si>
  <si>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</si>
  <si>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</si>
  <si>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</si>
  <si>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</si>
  <si>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</si>
  <si>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</si>
  <si>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</si>
  <si>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</si>
  <si>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</si>
  <si>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</si>
  <si>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</si>
  <si>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</si>
  <si>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</si>
  <si>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</si>
  <si>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</si>
  <si>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</si>
  <si>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</si>
  <si>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</si>
  <si>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</si>
  <si>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</si>
  <si>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</si>
  <si>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</si>
  <si>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</si>
  <si>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</si>
  <si>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</si>
  <si>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</si>
  <si>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</si>
  <si>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</si>
  <si>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</si>
  <si>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</si>
  <si>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</si>
  <si>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</si>
  <si>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</si>
  <si>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</si>
  <si>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</si>
  <si>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</si>
  <si>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</si>
  <si>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</si>
  <si>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</si>
  <si>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</si>
  <si>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</si>
  <si>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</si>
  <si>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</si>
  <si>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</si>
  <si>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</si>
  <si>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</si>
  <si>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</si>
  <si>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</si>
  <si>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</si>
  <si>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</si>
  <si>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</si>
  <si>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</si>
  <si>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</si>
  <si>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</si>
  <si>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</si>
  <si>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</si>
  <si>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</si>
  <si>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</si>
  <si>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</si>
  <si>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</si>
  <si>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</si>
  <si>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</si>
  <si>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</si>
  <si>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</si>
  <si>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</si>
  <si>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</si>
  <si>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</si>
  <si>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</si>
  <si>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</si>
  <si>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</si>
  <si>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</si>
  <si>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</si>
  <si>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</si>
  <si>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</si>
  <si>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</si>
  <si>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</si>
  <si>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</si>
  <si>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</si>
  <si>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</si>
  <si>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</si>
  <si>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</si>
  <si>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</si>
  <si>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</si>
  <si>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</si>
  <si>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</si>
  <si>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</si>
  <si>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</si>
  <si>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</si>
  <si>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</si>
  <si>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Módosított hitel/lízing összeg</t>
  </si>
  <si>
    <t>TOP és egyéb úniós projektek keretében megvalósuló projektek nem támogatott munkarészei, többletfeladatai</t>
  </si>
  <si>
    <t>2031.</t>
  </si>
  <si>
    <t>Hitelek összesen:</t>
  </si>
  <si>
    <t>2024.</t>
  </si>
  <si>
    <t>Hitelek állománya  2019. XII. 31-én</t>
  </si>
  <si>
    <t>2019. évről áthuzódó  feladatokhoz hitel igénybe vétel</t>
  </si>
  <si>
    <t>2020. évi feladatokhoz hitel igénybevétel</t>
  </si>
  <si>
    <t>2022. évi adósságszolg.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</si>
  <si>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</si>
  <si>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</si>
  <si>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</si>
  <si>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</si>
  <si>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</si>
  <si>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</si>
  <si>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</si>
  <si>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</si>
  <si>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</si>
  <si>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</si>
  <si>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</si>
  <si>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</si>
  <si>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</si>
  <si>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</si>
  <si>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</si>
  <si>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</si>
  <si>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</si>
  <si>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</si>
  <si>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</si>
  <si>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</si>
  <si>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</si>
  <si>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</si>
  <si>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</si>
  <si>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</si>
  <si>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</si>
  <si>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</si>
  <si>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</si>
  <si>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</si>
  <si>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</si>
  <si>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</si>
  <si>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</si>
  <si>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</si>
  <si>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</si>
  <si>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</si>
  <si>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</si>
  <si>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</si>
  <si>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</si>
  <si>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</si>
  <si>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</si>
  <si>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</si>
  <si>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</si>
  <si>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</si>
  <si>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</si>
  <si>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</si>
  <si>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</si>
  <si>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</si>
  <si>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</si>
  <si>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</si>
  <si>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</si>
  <si>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</si>
  <si>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</si>
  <si>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</si>
  <si>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</si>
  <si>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</si>
  <si>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</si>
  <si>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</si>
  <si>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</si>
  <si>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</si>
  <si>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</si>
  <si>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</si>
  <si>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</si>
  <si>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</si>
  <si>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</si>
  <si>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</si>
  <si>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</si>
  <si>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</si>
  <si>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</si>
  <si>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</si>
  <si>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</si>
  <si>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</si>
  <si>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</si>
  <si>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</si>
  <si>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</si>
  <si>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</si>
  <si>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</si>
  <si>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</si>
  <si>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</si>
  <si>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</si>
  <si>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</si>
  <si>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</si>
  <si>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</si>
  <si>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</si>
  <si>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</si>
  <si>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</si>
  <si>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</si>
  <si>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</si>
  <si>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</si>
  <si>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</si>
  <si>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</si>
  <si>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</si>
  <si>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</si>
  <si>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</si>
  <si>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</si>
  <si>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</si>
  <si>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</si>
  <si>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</si>
  <si>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</si>
  <si>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</si>
  <si>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</si>
  <si>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</si>
  <si>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</si>
  <si>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</si>
  <si>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</si>
  <si>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</si>
  <si>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</si>
  <si>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</si>
  <si>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</si>
  <si>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</si>
  <si>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</si>
  <si>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</si>
  <si>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</si>
  <si>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</si>
  <si>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</si>
  <si>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</si>
  <si>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</si>
  <si>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</si>
  <si>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</si>
  <si>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</si>
  <si>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</si>
  <si>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</si>
  <si>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</si>
  <si>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</si>
  <si>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</si>
  <si>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</si>
  <si>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</si>
  <si>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</si>
  <si>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</si>
  <si>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</si>
  <si>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</si>
  <si>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</si>
  <si>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</si>
  <si>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</si>
  <si>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</si>
  <si>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</si>
  <si>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</si>
  <si>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</si>
  <si>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</si>
  <si>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</si>
  <si>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</si>
  <si>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</si>
  <si>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</si>
  <si>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</si>
  <si>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</si>
  <si>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</si>
  <si>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</si>
  <si>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</si>
  <si>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</si>
  <si>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</si>
  <si>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</si>
  <si>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</si>
  <si>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</si>
  <si>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</si>
  <si>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</si>
  <si>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</si>
  <si>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</si>
  <si>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</si>
  <si>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</si>
  <si>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</si>
  <si>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</si>
  <si>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</si>
  <si>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</si>
  <si>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</si>
  <si>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</si>
  <si>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</si>
  <si>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</si>
  <si>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</si>
  <si>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</si>
  <si>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</si>
  <si>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</si>
  <si>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</si>
  <si>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</si>
  <si>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</si>
  <si>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</si>
  <si>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</si>
  <si>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</si>
  <si>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</si>
  <si>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</si>
  <si>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</si>
  <si>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</si>
  <si>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</si>
  <si>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</si>
  <si>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</si>
  <si>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</si>
  <si>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</si>
  <si>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</si>
  <si>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</si>
  <si>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</si>
  <si>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</si>
  <si>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</si>
  <si>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</si>
  <si>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</si>
  <si>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</si>
  <si>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</si>
  <si>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</si>
  <si>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</si>
  <si>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</si>
  <si>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</si>
  <si>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</si>
  <si>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</si>
  <si>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</si>
  <si>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</si>
  <si>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</si>
  <si>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</si>
  <si>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</si>
  <si>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</si>
  <si>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</si>
  <si>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</si>
  <si>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</si>
  <si>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</si>
  <si>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</si>
  <si>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</si>
  <si>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</si>
  <si>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</si>
  <si>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</si>
  <si>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</si>
  <si>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</si>
  <si>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</si>
  <si>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</si>
  <si>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</si>
  <si>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</si>
  <si>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</si>
  <si>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</si>
  <si>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</si>
  <si>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</si>
  <si>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</si>
  <si>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</si>
  <si>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</si>
  <si>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</si>
  <si>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</si>
  <si>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</si>
  <si>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</si>
  <si>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</si>
  <si>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</si>
  <si>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</si>
  <si>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</si>
  <si>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</si>
  <si>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</si>
  <si>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</si>
  <si>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</si>
  <si>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</si>
  <si>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</si>
  <si>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</si>
  <si>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</si>
  <si>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</si>
  <si>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</si>
  <si>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</si>
  <si>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</si>
  <si>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</si>
  <si>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</si>
  <si>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</si>
  <si>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</si>
  <si>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</si>
  <si>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</si>
  <si>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</si>
  <si>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</si>
  <si>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</si>
  <si>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</si>
  <si>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</si>
  <si>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</si>
  <si>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</si>
  <si>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</si>
  <si>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</si>
  <si>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</si>
  <si>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</si>
  <si>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</si>
  <si>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</si>
  <si>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</si>
  <si>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</si>
  <si>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</si>
  <si>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</si>
  <si>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</si>
  <si>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</si>
  <si>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</si>
  <si>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</si>
  <si>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</si>
  <si>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</si>
  <si>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</si>
  <si>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</si>
  <si>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</si>
  <si>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</si>
  <si>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</si>
  <si>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</si>
  <si>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</si>
  <si>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</si>
  <si>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</si>
  <si>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</si>
  <si>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</si>
  <si>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</si>
  <si>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</si>
  <si>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</si>
  <si>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</si>
  <si>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</si>
  <si>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</si>
  <si>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>ÁFA visszatérítés</t>
  </si>
  <si>
    <t>Hitel</t>
  </si>
  <si>
    <t>korábban kiutalt támogatás előleg maradvány</t>
  </si>
  <si>
    <t>Önkormányzat:</t>
  </si>
  <si>
    <t>TOP-6.2.1-15- ZL1-2016-00001 Andráshidai Óvoda építése</t>
  </si>
  <si>
    <t>TOP-6.1.3 -15-ZL1-2016-00001 Helyi termelői és kézműves piac kialakítása Zalaegerszegen (nettó)</t>
  </si>
  <si>
    <t>TOP 6.1.4-16-ZL1-2017-00001 Alsóerdő komplex turisztikai fejlesztése (nettó)</t>
  </si>
  <si>
    <t xml:space="preserve"> TOP-6.1.1-16-ZL1-2017-00001 Üzemcsarnok építés a Zalaegerszeg 4815/6 hrsz-ú ingatlanon (nettó)</t>
  </si>
  <si>
    <t xml:space="preserve"> Zalaegerszeg keleti vízbázisról ellátott települések ivóvízminőségének javítása KEHOP projekt</t>
  </si>
  <si>
    <t>Önkormányzati projektek mindösszesen:</t>
  </si>
  <si>
    <t>Költségvetési szervek:</t>
  </si>
  <si>
    <t>Deák Ferenc Megyei és Városi Könyvtár:</t>
  </si>
  <si>
    <t xml:space="preserve">EFOP-3.3.2-2016-00202 "Egy könyvtárnyi élmény" </t>
  </si>
  <si>
    <t>Keresztury Dezső Városi Művelődési Központ:</t>
  </si>
  <si>
    <t>EFOP-1.2.9-17-2017-00116 "Zalaegerszegi NŐ-KÖZ-PONT"</t>
  </si>
  <si>
    <t>TOP-6.9.2-16 " A helyi identitás és kohézió erősítése"</t>
  </si>
  <si>
    <t>TOP-7.1.1.-16-H-ERFA "A Városi Hangverseny- és Kiállítóterem megújítása"</t>
  </si>
  <si>
    <t>Göcseji Múzeum:</t>
  </si>
  <si>
    <t>SI-HU 149 Back in the day</t>
  </si>
  <si>
    <t>EFOP-3.33.2-16-2016-00011 Kalandozások a múltban</t>
  </si>
  <si>
    <t>Projektek  mindösszesen: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</si>
  <si>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</si>
  <si>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</si>
  <si>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</si>
  <si>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</si>
  <si>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</si>
  <si>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</si>
  <si>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</si>
  <si>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</si>
  <si>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</si>
  <si>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</si>
  <si>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</si>
  <si>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</si>
  <si>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</si>
  <si>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</si>
  <si>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</si>
  <si>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</si>
  <si>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</si>
  <si>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</si>
  <si>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</si>
  <si>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</si>
  <si>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</si>
  <si>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</si>
  <si>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</si>
  <si>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</si>
  <si>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</si>
  <si>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</si>
  <si>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</si>
  <si>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</si>
  <si>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</si>
  <si>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</si>
  <si>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</si>
  <si>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</si>
  <si>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</si>
  <si>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</si>
  <si>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</si>
  <si>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</si>
  <si>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</si>
  <si>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</si>
  <si>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</si>
  <si>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</si>
  <si>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</si>
  <si>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</si>
  <si>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</si>
  <si>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</si>
  <si>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</si>
  <si>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</si>
  <si>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</si>
  <si>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</si>
  <si>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</si>
  <si>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</si>
  <si>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</si>
  <si>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</si>
  <si>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</si>
  <si>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</si>
  <si>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</si>
  <si>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</si>
  <si>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</si>
  <si>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</si>
  <si>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</si>
  <si>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</si>
  <si>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</si>
  <si>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</si>
  <si>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</si>
  <si>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</si>
  <si>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</si>
  <si>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</si>
  <si>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</si>
  <si>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</si>
  <si>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</si>
  <si>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</si>
  <si>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</si>
  <si>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</si>
  <si>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</si>
  <si>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</si>
  <si>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</si>
  <si>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</si>
  <si>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</si>
  <si>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</si>
  <si>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</si>
  <si>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</si>
  <si>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</si>
  <si>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</si>
  <si>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</si>
  <si>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</si>
  <si>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</si>
  <si>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</si>
  <si>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</si>
  <si>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</si>
  <si>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</si>
  <si>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</si>
  <si>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</si>
  <si>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</si>
  <si>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</si>
  <si>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</si>
  <si>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</si>
  <si>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</si>
  <si>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</si>
  <si>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</si>
  <si>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</si>
  <si>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</si>
  <si>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</si>
  <si>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</si>
  <si>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</si>
  <si>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</si>
  <si>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</si>
  <si>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</si>
  <si>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</si>
  <si>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</si>
  <si>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</si>
  <si>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</si>
  <si>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</si>
  <si>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</si>
  <si>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</si>
  <si>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</si>
  <si>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</si>
  <si>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</si>
  <si>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</si>
  <si>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</si>
  <si>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</si>
  <si>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</si>
  <si>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</si>
  <si>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</si>
  <si>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</si>
  <si>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</si>
  <si>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</si>
  <si>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</si>
  <si>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</si>
  <si>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</si>
  <si>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</si>
  <si>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</si>
  <si>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</si>
  <si>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</si>
  <si>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</si>
  <si>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</si>
  <si>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</si>
  <si>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</si>
  <si>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</si>
  <si>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</si>
  <si>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</si>
  <si>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</si>
  <si>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</si>
  <si>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</si>
  <si>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</si>
  <si>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</si>
  <si>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</si>
  <si>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</si>
  <si>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</si>
  <si>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</si>
  <si>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</si>
  <si>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</si>
  <si>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</si>
  <si>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</si>
  <si>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</si>
  <si>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</si>
  <si>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</si>
  <si>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</si>
  <si>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</si>
  <si>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</si>
  <si>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</si>
  <si>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</si>
  <si>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</si>
  <si>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</si>
  <si>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</si>
  <si>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</si>
  <si>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</si>
  <si>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</si>
  <si>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</si>
  <si>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</si>
  <si>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</si>
  <si>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</si>
  <si>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</si>
  <si>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</si>
  <si>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</si>
  <si>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</si>
  <si>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</si>
  <si>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</si>
  <si>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</si>
  <si>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</si>
  <si>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</si>
  <si>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</si>
  <si>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</si>
  <si>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</si>
  <si>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</si>
  <si>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</si>
  <si>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</si>
  <si>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</si>
  <si>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</si>
  <si>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</si>
  <si>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</si>
  <si>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</si>
  <si>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</si>
  <si>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</si>
  <si>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</si>
  <si>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</si>
  <si>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</si>
  <si>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</si>
  <si>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</si>
  <si>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</si>
  <si>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</si>
  <si>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</si>
  <si>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</si>
  <si>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</si>
  <si>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</si>
  <si>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</si>
  <si>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</si>
  <si>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</si>
  <si>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</si>
  <si>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</si>
  <si>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</si>
  <si>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</si>
  <si>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</si>
  <si>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</si>
  <si>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</si>
  <si>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</si>
  <si>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</si>
  <si>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</si>
  <si>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</si>
  <si>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</si>
  <si>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</si>
  <si>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</si>
  <si>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</si>
  <si>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</si>
  <si>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</si>
  <si>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</si>
  <si>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</si>
  <si>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</si>
  <si>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</si>
  <si>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</si>
  <si>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</si>
  <si>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</si>
  <si>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</si>
  <si>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</si>
  <si>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</si>
  <si>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</si>
  <si>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</si>
  <si>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</si>
  <si>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</si>
  <si>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</si>
  <si>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</si>
  <si>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</si>
  <si>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</si>
  <si>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</si>
  <si>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</si>
  <si>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</si>
  <si>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</si>
  <si>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</si>
  <si>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</si>
  <si>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</si>
  <si>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</si>
  <si>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</si>
  <si>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</si>
  <si>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</si>
  <si>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</si>
  <si>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</si>
  <si>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</si>
  <si>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</si>
  <si>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</si>
  <si>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</si>
  <si>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</si>
  <si>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</si>
  <si>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</si>
  <si>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</si>
  <si>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</si>
  <si>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</si>
  <si>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</si>
  <si>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</si>
  <si>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</si>
  <si>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</si>
  <si>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</si>
  <si>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</si>
  <si>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</si>
  <si>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</si>
  <si>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</si>
  <si>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</si>
  <si>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</si>
  <si>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</si>
  <si>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</si>
  <si>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</si>
  <si>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</si>
  <si>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</si>
  <si>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</si>
  <si>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</si>
  <si>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</si>
  <si>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</si>
  <si>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</si>
  <si>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</si>
  <si>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</si>
  <si>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</si>
  <si>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</si>
  <si>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</si>
  <si>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</si>
  <si>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</si>
  <si>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</si>
  <si>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</si>
  <si>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</si>
  <si>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</si>
  <si>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</si>
  <si>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</si>
  <si>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</si>
  <si>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</si>
  <si>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</si>
  <si>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</si>
  <si>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</si>
  <si>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</si>
  <si>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</si>
  <si>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</si>
  <si>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</si>
  <si>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</si>
  <si>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</si>
  <si>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</si>
  <si>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</si>
  <si>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</si>
  <si>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</si>
  <si>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</si>
  <si>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</si>
  <si>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</si>
  <si>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</si>
  <si>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</si>
  <si>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</si>
  <si>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</si>
  <si>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</si>
  <si>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</si>
  <si>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</si>
  <si>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</si>
  <si>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</si>
  <si>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</si>
  <si>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</si>
  <si>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</si>
  <si>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</si>
  <si>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</si>
  <si>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</si>
  <si>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</si>
  <si>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</si>
  <si>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</si>
  <si>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</si>
  <si>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</si>
  <si>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</si>
  <si>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</si>
  <si>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</si>
  <si>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</si>
  <si>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</si>
  <si>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</si>
  <si>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</si>
  <si>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</si>
  <si>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</si>
  <si>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</si>
  <si>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</si>
  <si>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</si>
  <si>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</si>
  <si>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</si>
  <si>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</si>
  <si>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</si>
  <si>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</si>
  <si>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</si>
  <si>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</si>
  <si>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</si>
  <si>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</si>
  <si>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</si>
  <si>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</si>
  <si>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</si>
  <si>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</si>
  <si>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</si>
  <si>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</si>
  <si>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</si>
  <si>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</si>
  <si>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</si>
  <si>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</si>
  <si>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</si>
  <si>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</si>
  <si>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</si>
  <si>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</si>
  <si>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</si>
  <si>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</si>
  <si>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</si>
  <si>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</si>
  <si>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</si>
  <si>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</si>
  <si>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</si>
  <si>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</si>
  <si>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</si>
  <si>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</si>
  <si>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</si>
  <si>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</si>
  <si>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</si>
  <si>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</si>
  <si>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</si>
  <si>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</si>
  <si>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</si>
  <si>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</si>
  <si>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</si>
  <si>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</si>
  <si>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</si>
  <si>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</si>
  <si>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</si>
  <si>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</si>
  <si>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</si>
  <si>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</si>
  <si>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</si>
  <si>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</si>
  <si>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</si>
  <si>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</si>
  <si>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</si>
  <si>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</si>
  <si>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</si>
  <si>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</si>
  <si>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</si>
  <si>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</si>
  <si>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</si>
  <si>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</si>
  <si>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</si>
  <si>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</si>
  <si>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</si>
  <si>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</si>
  <si>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</si>
  <si>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</si>
  <si>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</si>
  <si>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</si>
  <si>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</si>
  <si>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</si>
  <si>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</si>
  <si>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</si>
  <si>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</si>
  <si>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</si>
  <si>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</si>
  <si>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</si>
  <si>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</si>
  <si>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</si>
  <si>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</si>
  <si>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</si>
  <si>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</si>
  <si>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</si>
  <si>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</si>
  <si>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</si>
  <si>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</si>
  <si>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</si>
  <si>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</si>
  <si>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</si>
  <si>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</si>
  <si>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</si>
  <si>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</si>
  <si>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</si>
  <si>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</si>
  <si>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</si>
  <si>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</si>
  <si>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</si>
  <si>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</si>
  <si>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</si>
  <si>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</si>
  <si>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</si>
  <si>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</si>
  <si>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</si>
  <si>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</si>
  <si>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</si>
  <si>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</si>
  <si>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</si>
  <si>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</si>
  <si>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</si>
  <si>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</si>
  <si>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</si>
  <si>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</si>
  <si>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</si>
  <si>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</si>
  <si>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</si>
  <si>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</si>
  <si>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</si>
  <si>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</si>
  <si>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</si>
  <si>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</si>
  <si>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</si>
  <si>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</si>
  <si>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</si>
  <si>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</si>
  <si>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</si>
  <si>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</si>
  <si>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</si>
  <si>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</si>
  <si>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</si>
  <si>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</si>
  <si>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</si>
  <si>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</si>
  <si>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</si>
  <si>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</si>
  <si>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</si>
  <si>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</si>
  <si>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</si>
  <si>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</si>
  <si>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</si>
  <si>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</si>
  <si>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</si>
  <si>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</si>
  <si>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</si>
  <si>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</si>
  <si>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</si>
  <si>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</si>
  <si>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</si>
  <si>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</si>
  <si>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</si>
  <si>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</si>
  <si>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</si>
  <si>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</si>
  <si>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</si>
  <si>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</si>
  <si>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</si>
  <si>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</si>
  <si>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</si>
  <si>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</si>
  <si>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</si>
  <si>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</si>
  <si>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</si>
  <si>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</si>
  <si>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</si>
  <si>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</si>
  <si>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</si>
  <si>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</si>
  <si>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</si>
  <si>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</si>
  <si>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</si>
  <si>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</si>
  <si>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</si>
  <si>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</si>
  <si>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</si>
  <si>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</si>
  <si>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</si>
  <si>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</si>
  <si>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</si>
  <si>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</si>
  <si>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</si>
  <si>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</si>
  <si>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</si>
  <si>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</si>
  <si>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</si>
  <si>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</si>
  <si>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</si>
  <si>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</si>
  <si>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</si>
  <si>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</si>
  <si>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</si>
  <si>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</si>
  <si>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</si>
  <si>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</si>
  <si>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</si>
  <si>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</si>
  <si>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</si>
  <si>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</si>
  <si>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</si>
  <si>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</si>
  <si>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</si>
  <si>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</si>
  <si>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</si>
  <si>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</si>
  <si>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</si>
  <si>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</si>
  <si>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</si>
  <si>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</si>
  <si>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</si>
  <si>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</si>
  <si>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</si>
  <si>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</si>
  <si>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</si>
  <si>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</si>
  <si>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</si>
  <si>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</si>
  <si>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</si>
  <si>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</si>
  <si>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</si>
  <si>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</si>
  <si>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</si>
  <si>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</si>
  <si>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</si>
  <si>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</si>
  <si>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</si>
  <si>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</si>
  <si>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</si>
  <si>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</si>
  <si>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</si>
  <si>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</si>
  <si>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</si>
  <si>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</si>
  <si>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</si>
  <si>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</si>
  <si>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</si>
  <si>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</si>
  <si>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</si>
  <si>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</si>
  <si>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</si>
  <si>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</si>
  <si>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</si>
  <si>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</si>
  <si>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</si>
  <si>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</si>
  <si>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</si>
  <si>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</si>
  <si>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</si>
  <si>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</si>
  <si>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</si>
  <si>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</si>
  <si>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</si>
  <si>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</si>
  <si>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</si>
  <si>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</si>
  <si>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</si>
  <si>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</si>
  <si>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</si>
  <si>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</si>
  <si>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</si>
  <si>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</si>
  <si>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</si>
  <si>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</si>
  <si>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</si>
  <si>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</si>
  <si>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</si>
  <si>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</si>
  <si>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</si>
  <si>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</si>
  <si>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</si>
  <si>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</si>
  <si>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</si>
  <si>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</si>
  <si>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</si>
  <si>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</si>
  <si>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</si>
  <si>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</si>
  <si>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</si>
  <si>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</si>
  <si>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</si>
  <si>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</si>
  <si>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</si>
  <si>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</si>
  <si>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</si>
  <si>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</si>
  <si>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</si>
  <si>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</si>
  <si>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</si>
  <si>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</si>
  <si>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</si>
  <si>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</si>
  <si>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</si>
  <si>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</si>
  <si>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</si>
  <si>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</si>
  <si>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</si>
  <si>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</si>
  <si>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</si>
  <si>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</si>
  <si>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</si>
  <si>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</si>
  <si>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</si>
  <si>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</si>
  <si>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</si>
  <si>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</si>
  <si>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</si>
  <si>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</si>
  <si>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</si>
  <si>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</si>
  <si>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</si>
  <si>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</si>
  <si>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</si>
  <si>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</si>
  <si>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</si>
  <si>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</si>
  <si>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</si>
  <si>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</si>
  <si>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</si>
  <si>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</si>
  <si>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</si>
  <si>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</si>
  <si>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</si>
  <si>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</si>
  <si>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</si>
  <si>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</si>
  <si>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</si>
  <si>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</si>
  <si>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</si>
  <si>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</si>
  <si>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</si>
  <si>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</si>
  <si>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</si>
  <si>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</si>
  <si>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</si>
  <si>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</si>
  <si>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</si>
  <si>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</si>
  <si>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</si>
  <si>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</si>
  <si>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</si>
  <si>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</si>
  <si>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</si>
  <si>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</si>
  <si>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</si>
  <si>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</si>
  <si>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</si>
  <si>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</si>
  <si>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</si>
  <si>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</si>
  <si>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</si>
  <si>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</si>
  <si>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</si>
  <si>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</si>
  <si>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</si>
  <si>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</si>
  <si>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</si>
  <si>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</si>
  <si>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</si>
  <si>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</si>
  <si>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</si>
  <si>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</si>
  <si>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Közvetett támogatás jogcíme</t>
  </si>
  <si>
    <t>1. Ellátottak térítési díjának illetve kártérítésének méltányossági alapon történő elengedése</t>
  </si>
  <si>
    <t>----</t>
  </si>
  <si>
    <t>2. Lakásépítéshez, lakásfelújításhoz nyújtott kölcsön elengedése</t>
  </si>
  <si>
    <t>3. Helyi adónál biztosított kedvezmény, mentesség</t>
  </si>
  <si>
    <t>4. Helyiségek, eszközök hasznosításából származó bevételből nyújtott kedvezmény</t>
  </si>
  <si>
    <t>5. Egyéb nyújtott kedvezmény vagy kölcsön elengedése</t>
  </si>
  <si>
    <t>2021. évi kötelezettség</t>
  </si>
  <si>
    <t>2022. évi kötelezettség</t>
  </si>
  <si>
    <t>Megjegyzés</t>
  </si>
  <si>
    <t>I. Hitelek törlesztése és kamatai</t>
  </si>
  <si>
    <t>részletesen a 9. mellékletben</t>
  </si>
  <si>
    <t>II. Támogatási és egyéb megállapodások</t>
  </si>
  <si>
    <t>ZTE Football Club Zrt.és ZTE-SPORTSZOLG Kft.támogatása</t>
  </si>
  <si>
    <t>Helyi buszközlekedés veszteségének finanszírozása</t>
  </si>
  <si>
    <t>tíz éves időtartam 2022-ig</t>
  </si>
  <si>
    <t>ZMJVK 256/2016.(XII.15.) kgy. határozat 5 éves</t>
  </si>
  <si>
    <t>Edelmann Hungary Packaging Zrt. lízingszerződés</t>
  </si>
  <si>
    <t>ZMJVK 254/2013.(XII.19.) kgy.határozat 2023-ig 8 éves időtartamban</t>
  </si>
  <si>
    <t xml:space="preserve">               Támogatási és egyéb megállapodások összesen:</t>
  </si>
  <si>
    <t>III. Készfizető kezességvállalások</t>
  </si>
  <si>
    <t>Városgazdálkodási Kft.( Csipke parkolóház tulajdonjogának megszerzése)</t>
  </si>
  <si>
    <t>ZMJVK 133/2012.(VI.21.) kgy.határozat 10 éves futamidő</t>
  </si>
  <si>
    <t>Zalaegerszegi Városfejlesztő Zrt.(Inkubátorház bővítése céljára felvett hitelhez)</t>
  </si>
  <si>
    <t>ZMJVK 104/2012.(VI.21.) kgy.határozat 12 éves futamidő</t>
  </si>
  <si>
    <t>Zala-Müllex Kft. (Müllex-Körmend Kft. üzletrészeinek megvásárlása)</t>
  </si>
  <si>
    <t>ZMJVK 36/2014.(III.05.) kgy.határozat 10 éves futamidő</t>
  </si>
  <si>
    <t>ZTE-SPORTSZOLG Kft. (működési célú hitelfelvétel)</t>
  </si>
  <si>
    <t>ZMJVK 27/2014.(III.05.) kgy.határozat  10 éves futamidő</t>
  </si>
  <si>
    <t xml:space="preserve">                                 Készfizető kezességek összesen:</t>
  </si>
  <si>
    <t>Összes kötelezettség:</t>
  </si>
  <si>
    <t>2023. évi kötelezettség</t>
  </si>
  <si>
    <t xml:space="preserve">megállapodás szerint 2024-ig </t>
  </si>
  <si>
    <t>Észak-zalai Víz- és Csatornamű Zrt. (fejlesztési célú hitelfelvétel)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</si>
  <si>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</si>
  <si>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</si>
  <si>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</si>
  <si>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</si>
  <si>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</si>
  <si>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</si>
  <si>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</si>
  <si>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</si>
  <si>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</si>
  <si>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</si>
  <si>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</si>
  <si>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</si>
  <si>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Önkormányzat bevételei</t>
  </si>
  <si>
    <t>Önkormányzat által irányított költségvetési szervek</t>
  </si>
  <si>
    <t>Bevételek összesen:</t>
  </si>
  <si>
    <t>Önkormányzat  működési kiadásai</t>
  </si>
  <si>
    <t>Önkormányzat felhalmozási kiadási</t>
  </si>
  <si>
    <t>Önkormányzat költségvetési szervek nélkül</t>
  </si>
  <si>
    <t>Kiadások összesen:</t>
  </si>
  <si>
    <t>ZMJVK 45/2019.(III.07.) kgy.határozat  15 éves futamidő</t>
  </si>
  <si>
    <t>Az adókedvezmények és mentességek esetében a 2018. évi adat állt rendelkezésre.</t>
  </si>
  <si>
    <t>10./5.3</t>
  </si>
  <si>
    <t>Területvásárlások a TOP 6.1.1-16 Zalaegerszegi logisztikai Központ projekthez</t>
  </si>
  <si>
    <t>Előző évi állami hozzájárulások elszámolásból származó bevételek</t>
  </si>
  <si>
    <t xml:space="preserve">     bd) közutak fenntartásának támogatása  (km)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</si>
  <si>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</si>
  <si>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</si>
  <si>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</si>
  <si>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</si>
  <si>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</si>
  <si>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</si>
  <si>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</si>
  <si>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</si>
  <si>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</si>
  <si>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</si>
  <si>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</si>
  <si>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</si>
  <si>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</si>
  <si>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 xml:space="preserve"> - ünnepi díszkivilágítás szerelés, elromlott sorok javítása ,karbantartása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</si>
  <si>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</si>
  <si>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</si>
  <si>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</si>
  <si>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</si>
  <si>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</si>
  <si>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</si>
  <si>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</si>
  <si>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>2020. évi   előirányzat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</si>
  <si>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</si>
  <si>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</si>
  <si>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</si>
  <si>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</si>
  <si>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</si>
  <si>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</si>
  <si>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</si>
  <si>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</si>
  <si>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</si>
  <si>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</si>
  <si>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</t>
  </si>
  <si>
    <t>Települési önkormányzatok szociális és gyermekjóléti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</si>
  <si>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</si>
  <si>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</si>
  <si>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</si>
  <si>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</si>
  <si>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Helyi önkormányzatok kiegészítő állami támogatásai</t>
  </si>
  <si>
    <t>B116</t>
  </si>
  <si>
    <t>Elszámolásból származó bevételek</t>
  </si>
  <si>
    <t>B14</t>
  </si>
  <si>
    <t>Működési célú visszatérítendő támogatások, kölcsönök visszatérülése államháztartáson belülről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</si>
  <si>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</si>
  <si>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</si>
  <si>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</si>
  <si>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</si>
  <si>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</si>
  <si>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</si>
  <si>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</si>
  <si>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</si>
  <si>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</si>
  <si>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</si>
  <si>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</si>
  <si>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B34</t>
  </si>
  <si>
    <t>Vagyoni típusú adók (építményadó, magánszemélyek kommunális adója)</t>
  </si>
  <si>
    <t>B35</t>
  </si>
  <si>
    <t xml:space="preserve">Termékek és szolgáltatások adói </t>
  </si>
  <si>
    <t>B351</t>
  </si>
  <si>
    <t>Értékesítési és forgalmi adók (iparűzési adó)</t>
  </si>
  <si>
    <t>B354</t>
  </si>
  <si>
    <t>Gépjárműadók</t>
  </si>
  <si>
    <t>B355</t>
  </si>
  <si>
    <t>Egyéb áruhasználati és szolgáltatási adók ( idegenforgalmi adó)</t>
  </si>
  <si>
    <t>B36</t>
  </si>
  <si>
    <t>Egyéb közhatalmi bevételek (különféle bírságok, talajterhelési díj)</t>
  </si>
  <si>
    <t>Közhatalmi bevételek összesen</t>
  </si>
  <si>
    <t>B4</t>
  </si>
  <si>
    <t>B5</t>
  </si>
  <si>
    <t>B52</t>
  </si>
  <si>
    <t>Ingatlanok értékesítése</t>
  </si>
  <si>
    <t>B53</t>
  </si>
  <si>
    <t>Egyéb tárgyi eszközök értékesítése</t>
  </si>
  <si>
    <t>Felhalmozási bevételek összesen</t>
  </si>
  <si>
    <t>B6</t>
  </si>
  <si>
    <t>B7</t>
  </si>
  <si>
    <t>B74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</si>
  <si>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</si>
  <si>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</si>
  <si>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</si>
  <si>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</si>
  <si>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</si>
  <si>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</si>
  <si>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</si>
  <si>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</si>
  <si>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</si>
  <si>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</si>
  <si>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B8121</t>
  </si>
  <si>
    <t xml:space="preserve"> Forgatási célú belföldi értékpapírok beváltása, értékesítése</t>
  </si>
  <si>
    <t>B813</t>
  </si>
  <si>
    <t>B814</t>
  </si>
  <si>
    <t>Államháztartáson belüli megelőlegezések</t>
  </si>
  <si>
    <t>Finanszírozási bevételek összesen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</si>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</sst>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18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8"/>
      <name val="Times New Roman CE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MS Sans Serif"/>
      <family val="2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indexed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10"/>
      <name val="Arial"/>
      <family val="2"/>
      <charset val="238"/>
    </font>
    <font>
      <i/>
      <sz val="9"/>
      <color indexed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88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20" fillId="4" borderId="0" applyNumberFormat="0" applyBorder="0" applyAlignment="0" applyProtection="0"/>
    <xf numFmtId="0" fontId="59" fillId="5" borderId="0" applyNumberFormat="0" applyBorder="0" applyAlignment="0" applyProtection="0"/>
    <xf numFmtId="0" fontId="20" fillId="6" borderId="0" applyNumberFormat="0" applyBorder="0" applyAlignment="0" applyProtection="0"/>
    <xf numFmtId="0" fontId="59" fillId="7" borderId="0" applyNumberFormat="0" applyBorder="0" applyAlignment="0" applyProtection="0"/>
    <xf numFmtId="0" fontId="20" fillId="8" borderId="0" applyNumberFormat="0" applyBorder="0" applyAlignment="0" applyProtection="0"/>
    <xf numFmtId="0" fontId="59" fillId="9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20" fillId="14" borderId="0" applyNumberFormat="0" applyBorder="0" applyAlignment="0" applyProtection="0"/>
    <xf numFmtId="0" fontId="59" fillId="15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0" fillId="14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20" fillId="22" borderId="0" applyNumberFormat="0" applyBorder="0" applyAlignment="0" applyProtection="0"/>
    <xf numFmtId="0" fontId="59" fillId="23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17" borderId="0" applyNumberFormat="0" applyBorder="0" applyAlignment="0" applyProtection="0"/>
    <xf numFmtId="0" fontId="59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10" borderId="0" applyNumberFormat="0" applyBorder="0" applyAlignment="0" applyProtection="0"/>
    <xf numFmtId="0" fontId="40" fillId="18" borderId="0" applyNumberFormat="0" applyBorder="0" applyAlignment="0" applyProtection="0"/>
    <xf numFmtId="0" fontId="40" fillId="17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21" fillId="27" borderId="0" applyNumberFormat="0" applyBorder="0" applyAlignment="0" applyProtection="0"/>
    <xf numFmtId="0" fontId="60" fillId="28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2" borderId="0" applyNumberFormat="0" applyBorder="0" applyAlignment="0" applyProtection="0"/>
    <xf numFmtId="0" fontId="60" fillId="33" borderId="0" applyNumberFormat="0" applyBorder="0" applyAlignment="0" applyProtection="0"/>
    <xf numFmtId="0" fontId="41" fillId="27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34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6" borderId="0" applyNumberFormat="0" applyBorder="0" applyAlignment="0" applyProtection="0"/>
    <xf numFmtId="0" fontId="22" fillId="14" borderId="1" applyNumberFormat="0" applyAlignment="0" applyProtection="0"/>
    <xf numFmtId="0" fontId="61" fillId="15" borderId="1" applyNumberFormat="0" applyAlignment="0" applyProtection="0"/>
    <xf numFmtId="0" fontId="43" fillId="35" borderId="1" applyNumberFormat="0" applyAlignment="0" applyProtection="0"/>
    <xf numFmtId="0" fontId="44" fillId="16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62" fillId="0" borderId="4" applyNumberFormat="0" applyFill="0" applyAlignment="0" applyProtection="0"/>
    <xf numFmtId="0" fontId="25" fillId="0" borderId="5" applyNumberFormat="0" applyFill="0" applyAlignment="0" applyProtection="0"/>
    <xf numFmtId="0" fontId="63" fillId="0" borderId="6" applyNumberFormat="0" applyFill="0" applyAlignment="0" applyProtection="0"/>
    <xf numFmtId="0" fontId="26" fillId="0" borderId="7" applyNumberFormat="0" applyFill="0" applyAlignment="0" applyProtection="0"/>
    <xf numFmtId="0" fontId="6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16" borderId="2" applyNumberFormat="0" applyAlignment="0" applyProtection="0"/>
    <xf numFmtId="0" fontId="65" fillId="36" borderId="2" applyNumberFormat="0" applyAlignment="0" applyProtection="0"/>
    <xf numFmtId="0" fontId="4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5" applyNumberFormat="0" applyFill="0" applyAlignment="0" applyProtection="0"/>
    <xf numFmtId="0" fontId="49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67" fillId="0" borderId="9" applyNumberFormat="0" applyFill="0" applyAlignment="0" applyProtection="0"/>
    <xf numFmtId="0" fontId="50" fillId="14" borderId="1" applyNumberFormat="0" applyAlignment="0" applyProtection="0"/>
    <xf numFmtId="0" fontId="30" fillId="37" borderId="10" applyNumberFormat="0" applyFont="0" applyAlignment="0" applyProtection="0"/>
    <xf numFmtId="0" fontId="58" fillId="38" borderId="10" applyNumberFormat="0" applyAlignment="0" applyProtection="0"/>
    <xf numFmtId="0" fontId="21" fillId="25" borderId="0" applyNumberFormat="0" applyBorder="0" applyAlignment="0" applyProtection="0"/>
    <xf numFmtId="0" fontId="60" fillId="39" borderId="0" applyNumberFormat="0" applyBorder="0" applyAlignment="0" applyProtection="0"/>
    <xf numFmtId="0" fontId="21" fillId="34" borderId="0" applyNumberFormat="0" applyBorder="0" applyAlignment="0" applyProtection="0"/>
    <xf numFmtId="0" fontId="60" fillId="40" borderId="0" applyNumberFormat="0" applyBorder="0" applyAlignment="0" applyProtection="0"/>
    <xf numFmtId="0" fontId="21" fillId="26" borderId="0" applyNumberFormat="0" applyBorder="0" applyAlignment="0" applyProtection="0"/>
    <xf numFmtId="0" fontId="60" fillId="41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" borderId="0" applyNumberFormat="0" applyBorder="0" applyAlignment="0" applyProtection="0"/>
    <xf numFmtId="0" fontId="60" fillId="42" borderId="0" applyNumberFormat="0" applyBorder="0" applyAlignment="0" applyProtection="0"/>
    <xf numFmtId="0" fontId="60" fillId="25" borderId="0" applyNumberFormat="0" applyBorder="0" applyAlignment="0" applyProtection="0"/>
    <xf numFmtId="0" fontId="60" fillId="3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2" borderId="0" applyNumberFormat="0" applyBorder="0" applyAlignment="0" applyProtection="0"/>
    <xf numFmtId="0" fontId="60" fillId="26" borderId="0" applyNumberFormat="0" applyBorder="0" applyAlignment="0" applyProtection="0"/>
    <xf numFmtId="0" fontId="31" fillId="8" borderId="0" applyNumberFormat="0" applyBorder="0" applyAlignment="0" applyProtection="0"/>
    <xf numFmtId="0" fontId="68" fillId="9" borderId="0" applyNumberFormat="0" applyBorder="0" applyAlignment="0" applyProtection="0"/>
    <xf numFmtId="0" fontId="32" fillId="35" borderId="11" applyNumberFormat="0" applyAlignment="0" applyProtection="0"/>
    <xf numFmtId="0" fontId="69" fillId="43" borderId="11" applyNumberFormat="0" applyAlignment="0" applyProtection="0"/>
    <xf numFmtId="0" fontId="5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2" fillId="44" borderId="0" applyNumberFormat="0" applyBorder="0" applyAlignment="0" applyProtection="0"/>
    <xf numFmtId="0" fontId="30" fillId="0" borderId="0"/>
    <xf numFmtId="0" fontId="58" fillId="0" borderId="0"/>
    <xf numFmtId="0" fontId="16" fillId="0" borderId="0"/>
    <xf numFmtId="0" fontId="108" fillId="0" borderId="0"/>
    <xf numFmtId="0" fontId="5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8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" fillId="0" borderId="0"/>
    <xf numFmtId="0" fontId="5" fillId="0" borderId="0"/>
    <xf numFmtId="0" fontId="75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4" fillId="0" borderId="0"/>
    <xf numFmtId="0" fontId="5" fillId="0" borderId="0"/>
    <xf numFmtId="0" fontId="40" fillId="37" borderId="10" applyNumberFormat="0" applyFont="0" applyAlignment="0" applyProtection="0"/>
    <xf numFmtId="0" fontId="53" fillId="35" borderId="11" applyNumberFormat="0" applyAlignment="0" applyProtection="0"/>
    <xf numFmtId="0" fontId="34" fillId="0" borderId="12" applyNumberFormat="0" applyFill="0" applyAlignment="0" applyProtection="0"/>
    <xf numFmtId="0" fontId="71" fillId="0" borderId="12" applyNumberFormat="0" applyFill="0" applyAlignment="0" applyProtection="0"/>
    <xf numFmtId="0" fontId="35" fillId="6" borderId="0" applyNumberFormat="0" applyBorder="0" applyAlignment="0" applyProtection="0"/>
    <xf numFmtId="0" fontId="72" fillId="7" borderId="0" applyNumberFormat="0" applyBorder="0" applyAlignment="0" applyProtection="0"/>
    <xf numFmtId="0" fontId="36" fillId="44" borderId="0" applyNumberFormat="0" applyBorder="0" applyAlignment="0" applyProtection="0"/>
    <xf numFmtId="0" fontId="73" fillId="45" borderId="0" applyNumberFormat="0" applyBorder="0" applyAlignment="0" applyProtection="0"/>
    <xf numFmtId="0" fontId="37" fillId="35" borderId="1" applyNumberFormat="0" applyAlignment="0" applyProtection="0"/>
    <xf numFmtId="0" fontId="74" fillId="43" borderId="1" applyNumberFormat="0" applyAlignment="0" applyProtection="0"/>
    <xf numFmtId="0" fontId="54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6" fillId="0" borderId="0" applyNumberFormat="0" applyFill="0" applyBorder="0" applyAlignment="0" applyProtection="0"/>
  </cellStyleXfs>
  <cellXfs count="834">
    <xf numFmtId="0" fontId="0" fillId="0" borderId="0" xfId="0"/>
    <xf numFmtId="3" fontId="6" fillId="0" borderId="0" xfId="0" applyNumberFormat="1" applyFont="1" applyAlignment="1">
      <alignment vertical="center"/>
    </xf>
    <xf numFmtId="3" fontId="11" fillId="0" borderId="13" xfId="173" applyNumberFormat="1" applyFont="1" applyBorder="1" applyAlignment="1">
      <alignment horizontal="center" vertical="center"/>
    </xf>
    <xf numFmtId="3" fontId="11" fillId="0" borderId="13" xfId="173" applyNumberFormat="1" applyFont="1" applyBorder="1" applyAlignment="1">
      <alignment horizontal="right" vertical="center"/>
    </xf>
    <xf numFmtId="3" fontId="11" fillId="0" borderId="13" xfId="173" applyNumberFormat="1" applyFont="1" applyBorder="1" applyAlignment="1">
      <alignment vertical="center"/>
    </xf>
    <xf numFmtId="3" fontId="10" fillId="46" borderId="13" xfId="173" applyNumberFormat="1" applyFont="1" applyFill="1" applyBorder="1" applyAlignment="1">
      <alignment horizontal="right" vertical="center"/>
    </xf>
    <xf numFmtId="3" fontId="10" fillId="46" borderId="13" xfId="173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right" vertical="center"/>
    </xf>
    <xf numFmtId="0" fontId="7" fillId="0" borderId="0" xfId="0" applyFont="1"/>
    <xf numFmtId="0" fontId="6" fillId="0" borderId="0" xfId="0" applyFont="1"/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5" fillId="0" borderId="0" xfId="129" applyAlignment="1">
      <alignment vertical="center"/>
    </xf>
    <xf numFmtId="0" fontId="5" fillId="0" borderId="0" xfId="129" applyAlignment="1">
      <alignment vertical="top"/>
    </xf>
    <xf numFmtId="0" fontId="14" fillId="0" borderId="0" xfId="129" applyFont="1" applyAlignment="1">
      <alignment vertical="center"/>
    </xf>
    <xf numFmtId="3" fontId="5" fillId="0" borderId="0" xfId="129" applyNumberFormat="1" applyAlignment="1">
      <alignment vertical="center"/>
    </xf>
    <xf numFmtId="3" fontId="6" fillId="0" borderId="0" xfId="173" applyNumberFormat="1" applyFont="1" applyAlignment="1">
      <alignment vertical="center"/>
    </xf>
    <xf numFmtId="3" fontId="10" fillId="46" borderId="15" xfId="0" applyNumberFormat="1" applyFont="1" applyFill="1" applyBorder="1" applyAlignment="1">
      <alignment horizontal="center" vertical="center" wrapText="1"/>
    </xf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17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0" fillId="46" borderId="13" xfId="0" applyNumberFormat="1" applyFont="1" applyFill="1" applyBorder="1" applyAlignment="1">
      <alignment vertical="center" wrapText="1"/>
    </xf>
    <xf numFmtId="3" fontId="10" fillId="46" borderId="18" xfId="0" applyNumberFormat="1" applyFont="1" applyFill="1" applyBorder="1" applyAlignment="1">
      <alignment vertical="center"/>
    </xf>
    <xf numFmtId="3" fontId="10" fillId="46" borderId="19" xfId="0" applyNumberFormat="1" applyFont="1" applyFill="1" applyBorder="1" applyAlignment="1">
      <alignment horizontal="left" vertical="center" wrapText="1"/>
    </xf>
    <xf numFmtId="3" fontId="15" fillId="0" borderId="0" xfId="173" applyNumberFormat="1" applyFont="1" applyAlignment="1">
      <alignment vertical="center"/>
    </xf>
    <xf numFmtId="0" fontId="11" fillId="0" borderId="13" xfId="129" applyFont="1" applyBorder="1" applyAlignment="1">
      <alignment vertical="center"/>
    </xf>
    <xf numFmtId="0" fontId="11" fillId="0" borderId="13" xfId="129" applyFont="1" applyBorder="1" applyAlignment="1">
      <alignment horizontal="center" vertical="center"/>
    </xf>
    <xf numFmtId="3" fontId="11" fillId="0" borderId="13" xfId="129" applyNumberFormat="1" applyFont="1" applyBorder="1" applyAlignment="1">
      <alignment vertical="center"/>
    </xf>
    <xf numFmtId="0" fontId="10" fillId="46" borderId="13" xfId="129" applyFont="1" applyFill="1" applyBorder="1" applyAlignment="1">
      <alignment horizontal="center" vertical="center"/>
    </xf>
    <xf numFmtId="0" fontId="10" fillId="46" borderId="13" xfId="129" applyFont="1" applyFill="1" applyBorder="1" applyAlignment="1">
      <alignment vertical="center"/>
    </xf>
    <xf numFmtId="0" fontId="8" fillId="0" borderId="13" xfId="129" applyFont="1" applyBorder="1" applyAlignment="1">
      <alignment horizontal="center" vertical="center"/>
    </xf>
    <xf numFmtId="3" fontId="11" fillId="0" borderId="13" xfId="173" applyNumberFormat="1" applyFont="1" applyBorder="1" applyAlignment="1">
      <alignment horizontal="left" vertical="center" wrapText="1"/>
    </xf>
    <xf numFmtId="3" fontId="11" fillId="0" borderId="13" xfId="173" applyNumberFormat="1" applyFont="1" applyBorder="1" applyAlignment="1">
      <alignment horizontal="left" vertical="center"/>
    </xf>
    <xf numFmtId="3" fontId="11" fillId="46" borderId="13" xfId="173" applyNumberFormat="1" applyFont="1" applyFill="1" applyBorder="1" applyAlignment="1">
      <alignment horizontal="center" vertical="center"/>
    </xf>
    <xf numFmtId="3" fontId="9" fillId="47" borderId="20" xfId="173" applyNumberFormat="1" applyFont="1" applyFill="1" applyBorder="1" applyAlignment="1">
      <alignment horizontal="center" vertical="center" wrapText="1"/>
    </xf>
    <xf numFmtId="3" fontId="8" fillId="0" borderId="13" xfId="173" applyNumberFormat="1" applyFont="1" applyBorder="1" applyAlignment="1">
      <alignment horizontal="center" vertical="center"/>
    </xf>
    <xf numFmtId="3" fontId="8" fillId="0" borderId="13" xfId="173" applyNumberFormat="1" applyFont="1" applyBorder="1" applyAlignment="1">
      <alignment horizontal="left" vertical="center" wrapText="1"/>
    </xf>
    <xf numFmtId="3" fontId="8" fillId="0" borderId="13" xfId="173" applyNumberFormat="1" applyFont="1" applyBorder="1" applyAlignment="1">
      <alignment vertical="center"/>
    </xf>
    <xf numFmtId="3" fontId="8" fillId="0" borderId="13" xfId="173" applyNumberFormat="1" applyFont="1" applyBorder="1" applyAlignment="1">
      <alignment horizontal="left" vertical="center"/>
    </xf>
    <xf numFmtId="3" fontId="8" fillId="46" borderId="13" xfId="173" applyNumberFormat="1" applyFont="1" applyFill="1" applyBorder="1" applyAlignment="1">
      <alignment horizontal="center" vertical="center"/>
    </xf>
    <xf numFmtId="3" fontId="9" fillId="46" borderId="13" xfId="173" applyNumberFormat="1" applyFont="1" applyFill="1" applyBorder="1" applyAlignment="1">
      <alignment horizontal="left" vertical="center" wrapText="1"/>
    </xf>
    <xf numFmtId="3" fontId="9" fillId="46" borderId="13" xfId="173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3" fontId="10" fillId="46" borderId="13" xfId="129" applyNumberFormat="1" applyFont="1" applyFill="1" applyBorder="1" applyAlignment="1">
      <alignment vertical="center"/>
    </xf>
    <xf numFmtId="3" fontId="9" fillId="0" borderId="13" xfId="173" applyNumberFormat="1" applyFont="1" applyBorder="1" applyAlignment="1">
      <alignment vertical="center"/>
    </xf>
    <xf numFmtId="3" fontId="9" fillId="0" borderId="13" xfId="173" applyNumberFormat="1" applyFont="1" applyBorder="1" applyAlignment="1">
      <alignment horizontal="left" vertical="center" wrapText="1"/>
    </xf>
    <xf numFmtId="3" fontId="10" fillId="46" borderId="13" xfId="0" applyNumberFormat="1" applyFont="1" applyFill="1" applyBorder="1" applyAlignment="1">
      <alignment vertical="center"/>
    </xf>
    <xf numFmtId="0" fontId="10" fillId="46" borderId="13" xfId="129" applyFont="1" applyFill="1" applyBorder="1" applyAlignment="1">
      <alignment vertical="center" wrapText="1"/>
    </xf>
    <xf numFmtId="0" fontId="10" fillId="46" borderId="13" xfId="129" applyFont="1" applyFill="1" applyBorder="1" applyAlignment="1">
      <alignment horizontal="center" vertical="center" wrapText="1"/>
    </xf>
    <xf numFmtId="3" fontId="10" fillId="46" borderId="13" xfId="173" applyNumberFormat="1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 wrapText="1"/>
    </xf>
    <xf numFmtId="0" fontId="10" fillId="46" borderId="13" xfId="129" applyFont="1" applyFill="1" applyBorder="1" applyAlignment="1">
      <alignment horizontal="center" vertical="top" wrapText="1"/>
    </xf>
    <xf numFmtId="0" fontId="11" fillId="0" borderId="13" xfId="129" applyFont="1" applyBorder="1" applyAlignment="1">
      <alignment vertical="center" wrapText="1"/>
    </xf>
    <xf numFmtId="0" fontId="57" fillId="46" borderId="21" xfId="0" applyFont="1" applyFill="1" applyBorder="1" applyAlignment="1">
      <alignment horizontal="center" vertical="center" wrapText="1"/>
    </xf>
    <xf numFmtId="0" fontId="11" fillId="0" borderId="18" xfId="129" applyFont="1" applyBorder="1" applyAlignment="1">
      <alignment vertical="center"/>
    </xf>
    <xf numFmtId="0" fontId="75" fillId="0" borderId="0" xfId="130" applyAlignment="1">
      <alignment vertical="center"/>
    </xf>
    <xf numFmtId="0" fontId="75" fillId="0" borderId="0" xfId="130" applyAlignment="1">
      <alignment vertical="top"/>
    </xf>
    <xf numFmtId="3" fontId="75" fillId="0" borderId="0" xfId="130" applyNumberFormat="1" applyAlignment="1">
      <alignment vertical="center"/>
    </xf>
    <xf numFmtId="0" fontId="10" fillId="46" borderId="13" xfId="130" applyFont="1" applyFill="1" applyBorder="1" applyAlignment="1">
      <alignment horizontal="center" vertical="center" wrapText="1"/>
    </xf>
    <xf numFmtId="3" fontId="11" fillId="0" borderId="13" xfId="130" applyNumberFormat="1" applyFont="1" applyBorder="1" applyAlignment="1">
      <alignment vertical="center"/>
    </xf>
    <xf numFmtId="0" fontId="11" fillId="0" borderId="13" xfId="153" applyFont="1" applyBorder="1" applyAlignment="1">
      <alignment vertical="center"/>
    </xf>
    <xf numFmtId="0" fontId="9" fillId="46" borderId="13" xfId="130" applyFont="1" applyFill="1" applyBorder="1" applyAlignment="1">
      <alignment horizontal="center" vertical="center"/>
    </xf>
    <xf numFmtId="0" fontId="9" fillId="46" borderId="13" xfId="130" applyFont="1" applyFill="1" applyBorder="1" applyAlignment="1">
      <alignment vertical="center" wrapText="1"/>
    </xf>
    <xf numFmtId="3" fontId="76" fillId="0" borderId="0" xfId="130" applyNumberFormat="1" applyFont="1" applyAlignment="1">
      <alignment vertical="center"/>
    </xf>
    <xf numFmtId="0" fontId="10" fillId="46" borderId="13" xfId="130" applyFont="1" applyFill="1" applyBorder="1" applyAlignment="1">
      <alignment horizontal="center" vertical="center"/>
    </xf>
    <xf numFmtId="0" fontId="10" fillId="46" borderId="13" xfId="130" applyFont="1" applyFill="1" applyBorder="1" applyAlignment="1">
      <alignment vertical="center" wrapText="1"/>
    </xf>
    <xf numFmtId="3" fontId="78" fillId="0" borderId="0" xfId="155" applyNumberFormat="1" applyFont="1" applyAlignment="1">
      <alignment horizontal="center" vertical="center" wrapText="1"/>
    </xf>
    <xf numFmtId="3" fontId="13" fillId="9" borderId="22" xfId="155" applyNumberFormat="1" applyFont="1" applyFill="1" applyBorder="1" applyAlignment="1">
      <alignment horizontal="center" wrapText="1"/>
    </xf>
    <xf numFmtId="0" fontId="79" fillId="9" borderId="23" xfId="155" applyFont="1" applyFill="1" applyBorder="1" applyAlignment="1">
      <alignment horizontal="center" wrapText="1"/>
    </xf>
    <xf numFmtId="3" fontId="10" fillId="9" borderId="24" xfId="155" applyNumberFormat="1" applyFont="1" applyFill="1" applyBorder="1" applyAlignment="1">
      <alignment horizontal="center" vertical="center" wrapText="1"/>
    </xf>
    <xf numFmtId="3" fontId="10" fillId="9" borderId="25" xfId="155" applyNumberFormat="1" applyFont="1" applyFill="1" applyBorder="1" applyAlignment="1">
      <alignment horizontal="center" vertical="center" wrapText="1"/>
    </xf>
    <xf numFmtId="3" fontId="10" fillId="9" borderId="26" xfId="155" applyNumberFormat="1" applyFont="1" applyFill="1" applyBorder="1" applyAlignment="1">
      <alignment horizontal="center" vertical="center" wrapText="1"/>
    </xf>
    <xf numFmtId="3" fontId="58" fillId="0" borderId="13" xfId="155" applyNumberFormat="1" applyFont="1" applyBorder="1" applyAlignment="1">
      <alignment horizontal="center" vertical="center" wrapText="1"/>
    </xf>
    <xf numFmtId="3" fontId="8" fillId="0" borderId="27" xfId="155" applyNumberFormat="1" applyFont="1" applyBorder="1" applyAlignment="1">
      <alignment vertical="center" wrapText="1"/>
    </xf>
    <xf numFmtId="3" fontId="11" fillId="0" borderId="28" xfId="155" applyNumberFormat="1" applyFont="1" applyBorder="1" applyAlignment="1">
      <alignment horizontal="center" vertical="center" wrapText="1"/>
    </xf>
    <xf numFmtId="1" fontId="8" fillId="0" borderId="28" xfId="155" applyNumberFormat="1" applyFont="1" applyBorder="1" applyAlignment="1">
      <alignment horizontal="center" vertical="center" wrapText="1"/>
    </xf>
    <xf numFmtId="3" fontId="8" fillId="0" borderId="28" xfId="155" applyNumberFormat="1" applyFont="1" applyBorder="1" applyAlignment="1">
      <alignment horizontal="right" vertical="center" wrapText="1"/>
    </xf>
    <xf numFmtId="3" fontId="58" fillId="0" borderId="0" xfId="155" applyNumberFormat="1" applyFont="1" applyAlignment="1">
      <alignment vertical="center" wrapText="1"/>
    </xf>
    <xf numFmtId="3" fontId="8" fillId="0" borderId="28" xfId="155" applyNumberFormat="1" applyFont="1" applyBorder="1" applyAlignment="1">
      <alignment horizontal="center" vertical="center" wrapText="1"/>
    </xf>
    <xf numFmtId="3" fontId="8" fillId="0" borderId="0" xfId="155" applyNumberFormat="1" applyFont="1" applyAlignment="1">
      <alignment vertical="center" wrapText="1"/>
    </xf>
    <xf numFmtId="10" fontId="0" fillId="0" borderId="0" xfId="0" applyNumberFormat="1"/>
    <xf numFmtId="0" fontId="16" fillId="0" borderId="0" xfId="158"/>
    <xf numFmtId="0" fontId="83" fillId="0" borderId="0" xfId="158" applyFont="1"/>
    <xf numFmtId="0" fontId="11" fillId="9" borderId="31" xfId="140" applyFont="1" applyFill="1" applyBorder="1" applyAlignment="1">
      <alignment vertical="center"/>
    </xf>
    <xf numFmtId="0" fontId="6" fillId="0" borderId="0" xfId="140" applyFont="1" applyAlignment="1">
      <alignment vertical="center"/>
    </xf>
    <xf numFmtId="0" fontId="12" fillId="0" borderId="13" xfId="140" applyFont="1" applyBorder="1" applyAlignment="1">
      <alignment horizontal="left" vertical="top"/>
    </xf>
    <xf numFmtId="0" fontId="11" fillId="0" borderId="13" xfId="140" applyFont="1" applyBorder="1" applyAlignment="1">
      <alignment vertical="center"/>
    </xf>
    <xf numFmtId="0" fontId="11" fillId="0" borderId="21" xfId="140" applyFont="1" applyBorder="1" applyAlignment="1">
      <alignment horizontal="center" vertical="center"/>
    </xf>
    <xf numFmtId="0" fontId="11" fillId="0" borderId="32" xfId="140" applyFont="1" applyBorder="1" applyAlignment="1">
      <alignment vertical="center"/>
    </xf>
    <xf numFmtId="0" fontId="12" fillId="0" borderId="13" xfId="140" applyFont="1" applyBorder="1" applyAlignment="1">
      <alignment vertical="center"/>
    </xf>
    <xf numFmtId="3" fontId="8" fillId="0" borderId="13" xfId="140" applyNumberFormat="1" applyFont="1" applyBorder="1" applyAlignment="1">
      <alignment horizontal="right" vertical="center"/>
    </xf>
    <xf numFmtId="3" fontId="8" fillId="0" borderId="21" xfId="140" applyNumberFormat="1" applyFont="1" applyBorder="1" applyAlignment="1">
      <alignment horizontal="right" vertical="center"/>
    </xf>
    <xf numFmtId="3" fontId="11" fillId="0" borderId="13" xfId="140" applyNumberFormat="1" applyFont="1" applyBorder="1" applyAlignment="1">
      <alignment vertical="center"/>
    </xf>
    <xf numFmtId="3" fontId="38" fillId="0" borderId="13" xfId="140" applyNumberFormat="1" applyFont="1" applyBorder="1" applyAlignment="1">
      <alignment vertical="center"/>
    </xf>
    <xf numFmtId="166" fontId="8" fillId="0" borderId="13" xfId="140" applyNumberFormat="1" applyFont="1" applyBorder="1" applyAlignment="1">
      <alignment vertical="center"/>
    </xf>
    <xf numFmtId="3" fontId="8" fillId="0" borderId="13" xfId="140" applyNumberFormat="1" applyFont="1" applyBorder="1" applyAlignment="1">
      <alignment vertical="center"/>
    </xf>
    <xf numFmtId="4" fontId="8" fillId="0" borderId="13" xfId="140" applyNumberFormat="1" applyFont="1" applyBorder="1" applyAlignment="1">
      <alignment vertical="center"/>
    </xf>
    <xf numFmtId="0" fontId="11" fillId="0" borderId="13" xfId="140" applyFont="1" applyBorder="1" applyAlignment="1">
      <alignment vertical="center" wrapText="1"/>
    </xf>
    <xf numFmtId="0" fontId="8" fillId="0" borderId="13" xfId="140" applyFont="1" applyBorder="1" applyAlignment="1">
      <alignment vertical="center"/>
    </xf>
    <xf numFmtId="0" fontId="12" fillId="0" borderId="13" xfId="140" applyFont="1" applyBorder="1" applyAlignment="1">
      <alignment vertical="center" wrapText="1"/>
    </xf>
    <xf numFmtId="0" fontId="10" fillId="0" borderId="13" xfId="140" applyFont="1" applyBorder="1" applyAlignment="1">
      <alignment vertical="center" wrapText="1"/>
    </xf>
    <xf numFmtId="0" fontId="10" fillId="9" borderId="13" xfId="140" applyFont="1" applyFill="1" applyBorder="1" applyAlignment="1">
      <alignment vertical="center"/>
    </xf>
    <xf numFmtId="3" fontId="10" fillId="9" borderId="13" xfId="140" applyNumberFormat="1" applyFont="1" applyFill="1" applyBorder="1" applyAlignment="1">
      <alignment vertical="center"/>
    </xf>
    <xf numFmtId="3" fontId="8" fillId="0" borderId="28" xfId="155" applyNumberFormat="1" applyFont="1" applyBorder="1" applyAlignment="1">
      <alignment vertical="center" wrapText="1"/>
    </xf>
    <xf numFmtId="3" fontId="58" fillId="46" borderId="33" xfId="155" applyNumberFormat="1" applyFont="1" applyFill="1" applyBorder="1" applyAlignment="1">
      <alignment vertical="center" wrapText="1"/>
    </xf>
    <xf numFmtId="3" fontId="9" fillId="9" borderId="34" xfId="155" applyNumberFormat="1" applyFont="1" applyFill="1" applyBorder="1" applyAlignment="1">
      <alignment vertical="center" wrapText="1"/>
    </xf>
    <xf numFmtId="3" fontId="9" fillId="9" borderId="35" xfId="155" applyNumberFormat="1" applyFont="1" applyFill="1" applyBorder="1" applyAlignment="1">
      <alignment vertical="center" wrapText="1"/>
    </xf>
    <xf numFmtId="3" fontId="10" fillId="9" borderId="35" xfId="155" applyNumberFormat="1" applyFont="1" applyFill="1" applyBorder="1" applyAlignment="1">
      <alignment vertical="center" wrapText="1"/>
    </xf>
    <xf numFmtId="3" fontId="58" fillId="0" borderId="33" xfId="155" applyNumberFormat="1" applyFont="1" applyBorder="1" applyAlignment="1">
      <alignment horizontal="center" vertical="center" wrapText="1"/>
    </xf>
    <xf numFmtId="3" fontId="8" fillId="0" borderId="13" xfId="155" applyNumberFormat="1" applyFont="1" applyBorder="1" applyAlignment="1">
      <alignment vertical="center" wrapText="1"/>
    </xf>
    <xf numFmtId="3" fontId="9" fillId="0" borderId="13" xfId="155" applyNumberFormat="1" applyFont="1" applyBorder="1" applyAlignment="1">
      <alignment vertical="center" wrapText="1"/>
    </xf>
    <xf numFmtId="3" fontId="8" fillId="0" borderId="13" xfId="155" applyNumberFormat="1" applyFont="1" applyBorder="1" applyAlignment="1">
      <alignment horizontal="center" vertical="center" wrapText="1"/>
    </xf>
    <xf numFmtId="3" fontId="11" fillId="0" borderId="13" xfId="155" applyNumberFormat="1" applyFont="1" applyBorder="1" applyAlignment="1">
      <alignment vertical="center" wrapText="1"/>
    </xf>
    <xf numFmtId="3" fontId="58" fillId="46" borderId="13" xfId="155" applyNumberFormat="1" applyFont="1" applyFill="1" applyBorder="1" applyAlignment="1">
      <alignment vertical="center" wrapText="1"/>
    </xf>
    <xf numFmtId="3" fontId="9" fillId="9" borderId="13" xfId="155" applyNumberFormat="1" applyFont="1" applyFill="1" applyBorder="1" applyAlignment="1">
      <alignment vertical="center" wrapText="1"/>
    </xf>
    <xf numFmtId="3" fontId="8" fillId="46" borderId="13" xfId="155" applyNumberFormat="1" applyFont="1" applyFill="1" applyBorder="1" applyAlignment="1">
      <alignment vertical="center" wrapText="1"/>
    </xf>
    <xf numFmtId="3" fontId="10" fillId="46" borderId="13" xfId="155" applyNumberFormat="1" applyFont="1" applyFill="1" applyBorder="1" applyAlignment="1">
      <alignment vertical="center" wrapText="1"/>
    </xf>
    <xf numFmtId="0" fontId="5" fillId="0" borderId="0" xfId="131"/>
    <xf numFmtId="0" fontId="9" fillId="46" borderId="13" xfId="129" applyFont="1" applyFill="1" applyBorder="1" applyAlignment="1">
      <alignment horizontal="center" vertical="top" wrapText="1"/>
    </xf>
    <xf numFmtId="0" fontId="2" fillId="46" borderId="13" xfId="0" applyFont="1" applyFill="1" applyBorder="1" applyAlignment="1">
      <alignment horizontal="center" vertical="center" wrapText="1"/>
    </xf>
    <xf numFmtId="0" fontId="9" fillId="46" borderId="13" xfId="129" applyFont="1" applyFill="1" applyBorder="1" applyAlignment="1">
      <alignment horizontal="center" vertical="center" wrapText="1"/>
    </xf>
    <xf numFmtId="0" fontId="5" fillId="0" borderId="0" xfId="131" applyAlignment="1">
      <alignment vertical="center"/>
    </xf>
    <xf numFmtId="0" fontId="8" fillId="0" borderId="18" xfId="161" applyFont="1" applyBorder="1" applyAlignment="1">
      <alignment horizontal="center" vertical="center"/>
    </xf>
    <xf numFmtId="0" fontId="8" fillId="0" borderId="13" xfId="161" applyFont="1" applyBorder="1" applyAlignment="1">
      <alignment horizontal="center" vertical="center"/>
    </xf>
    <xf numFmtId="0" fontId="9" fillId="0" borderId="13" xfId="16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84" fillId="0" borderId="0" xfId="131" applyFont="1" applyAlignment="1">
      <alignment vertical="center"/>
    </xf>
    <xf numFmtId="0" fontId="9" fillId="46" borderId="13" xfId="16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3" fontId="10" fillId="0" borderId="13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vertical="center" wrapText="1"/>
    </xf>
    <xf numFmtId="0" fontId="8" fillId="0" borderId="21" xfId="132" applyFont="1" applyBorder="1" applyAlignment="1">
      <alignment vertical="center" wrapText="1"/>
    </xf>
    <xf numFmtId="0" fontId="8" fillId="0" borderId="0" xfId="132" applyFont="1" applyAlignment="1">
      <alignment vertical="center" wrapText="1"/>
    </xf>
    <xf numFmtId="3" fontId="8" fillId="0" borderId="21" xfId="0" applyNumberFormat="1" applyFont="1" applyBorder="1" applyAlignment="1">
      <alignment horizontal="left" vertical="center" wrapText="1"/>
    </xf>
    <xf numFmtId="3" fontId="11" fillId="0" borderId="13" xfId="0" applyNumberFormat="1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vertical="center" wrapText="1"/>
    </xf>
    <xf numFmtId="0" fontId="8" fillId="0" borderId="21" xfId="138" applyFont="1" applyBorder="1" applyAlignment="1">
      <alignment vertical="top" wrapText="1"/>
    </xf>
    <xf numFmtId="0" fontId="8" fillId="0" borderId="21" xfId="161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3" fontId="8" fillId="0" borderId="13" xfId="0" applyNumberFormat="1" applyFont="1" applyBorder="1" applyAlignment="1">
      <alignment vertical="center"/>
    </xf>
    <xf numFmtId="0" fontId="8" fillId="46" borderId="13" xfId="161" applyFont="1" applyFill="1" applyBorder="1" applyAlignment="1">
      <alignment horizontal="center" vertical="center"/>
    </xf>
    <xf numFmtId="3" fontId="9" fillId="46" borderId="21" xfId="0" applyNumberFormat="1" applyFont="1" applyFill="1" applyBorder="1" applyAlignment="1">
      <alignment vertical="center"/>
    </xf>
    <xf numFmtId="0" fontId="9" fillId="46" borderId="21" xfId="129" applyFont="1" applyFill="1" applyBorder="1" applyAlignment="1">
      <alignment vertical="center" wrapText="1"/>
    </xf>
    <xf numFmtId="3" fontId="5" fillId="0" borderId="0" xfId="131" applyNumberFormat="1"/>
    <xf numFmtId="0" fontId="5" fillId="0" borderId="0" xfId="131" applyAlignment="1">
      <alignment horizontal="center"/>
    </xf>
    <xf numFmtId="3" fontId="10" fillId="46" borderId="36" xfId="173" applyNumberFormat="1" applyFont="1" applyFill="1" applyBorder="1" applyAlignment="1">
      <alignment horizontal="center" vertical="center" wrapText="1"/>
    </xf>
    <xf numFmtId="3" fontId="10" fillId="46" borderId="18" xfId="173" applyNumberFormat="1" applyFont="1" applyFill="1" applyBorder="1" applyAlignment="1">
      <alignment horizontal="center" vertical="center" wrapText="1"/>
    </xf>
    <xf numFmtId="3" fontId="10" fillId="46" borderId="37" xfId="173" applyNumberFormat="1" applyFont="1" applyFill="1" applyBorder="1" applyAlignment="1">
      <alignment horizontal="center" vertical="center" wrapText="1"/>
    </xf>
    <xf numFmtId="3" fontId="11" fillId="0" borderId="18" xfId="173" applyNumberFormat="1" applyFont="1" applyBorder="1" applyAlignment="1">
      <alignment horizontal="center" vertical="center" wrapText="1"/>
    </xf>
    <xf numFmtId="3" fontId="11" fillId="0" borderId="13" xfId="173" applyNumberFormat="1" applyFont="1" applyBorder="1" applyAlignment="1">
      <alignment horizontal="center" vertical="center" wrapText="1"/>
    </xf>
    <xf numFmtId="3" fontId="11" fillId="0" borderId="38" xfId="173" applyNumberFormat="1" applyFont="1" applyBorder="1" applyAlignment="1">
      <alignment horizontal="center" vertical="center" wrapText="1"/>
    </xf>
    <xf numFmtId="3" fontId="10" fillId="0" borderId="32" xfId="173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horizontal="center" vertical="center"/>
    </xf>
    <xf numFmtId="3" fontId="10" fillId="0" borderId="13" xfId="173" applyNumberFormat="1" applyFont="1" applyBorder="1" applyAlignment="1">
      <alignment horizontal="center" vertical="center" wrapText="1"/>
    </xf>
    <xf numFmtId="3" fontId="10" fillId="0" borderId="18" xfId="173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0" fontId="11" fillId="0" borderId="21" xfId="129" applyFont="1" applyBorder="1" applyAlignment="1">
      <alignment vertical="center"/>
    </xf>
    <xf numFmtId="3" fontId="10" fillId="0" borderId="13" xfId="173" applyNumberFormat="1" applyFont="1" applyBorder="1" applyAlignment="1">
      <alignment horizontal="left" vertical="center"/>
    </xf>
    <xf numFmtId="3" fontId="10" fillId="0" borderId="13" xfId="173" applyNumberFormat="1" applyFont="1" applyBorder="1" applyAlignment="1">
      <alignment horizontal="center" vertical="center"/>
    </xf>
    <xf numFmtId="3" fontId="11" fillId="0" borderId="21" xfId="173" applyNumberFormat="1" applyFont="1" applyBorder="1" applyAlignment="1">
      <alignment horizontal="center" vertical="center"/>
    </xf>
    <xf numFmtId="3" fontId="11" fillId="0" borderId="21" xfId="173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3" fontId="11" fillId="0" borderId="21" xfId="173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3" fontId="11" fillId="0" borderId="39" xfId="173" applyNumberFormat="1" applyFont="1" applyBorder="1" applyAlignment="1">
      <alignment vertical="center"/>
    </xf>
    <xf numFmtId="0" fontId="88" fillId="0" borderId="28" xfId="0" applyFont="1" applyBorder="1" applyAlignment="1">
      <alignment vertical="center"/>
    </xf>
    <xf numFmtId="3" fontId="11" fillId="0" borderId="21" xfId="0" applyNumberFormat="1" applyFont="1" applyBorder="1" applyAlignment="1">
      <alignment horizontal="left" vertical="center"/>
    </xf>
    <xf numFmtId="3" fontId="11" fillId="0" borderId="21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0" fontId="11" fillId="0" borderId="21" xfId="161" applyFont="1" applyBorder="1" applyAlignment="1">
      <alignment vertical="center"/>
    </xf>
    <xf numFmtId="3" fontId="11" fillId="48" borderId="21" xfId="0" applyNumberFormat="1" applyFont="1" applyFill="1" applyBorder="1" applyAlignment="1">
      <alignment vertical="center"/>
    </xf>
    <xf numFmtId="3" fontId="11" fillId="48" borderId="21" xfId="0" applyNumberFormat="1" applyFont="1" applyFill="1" applyBorder="1" applyAlignment="1">
      <alignment horizontal="left" vertical="center"/>
    </xf>
    <xf numFmtId="3" fontId="10" fillId="46" borderId="13" xfId="0" applyNumberFormat="1" applyFont="1" applyFill="1" applyBorder="1" applyAlignment="1">
      <alignment horizontal="center" vertical="center"/>
    </xf>
    <xf numFmtId="3" fontId="10" fillId="46" borderId="21" xfId="0" applyNumberFormat="1" applyFont="1" applyFill="1" applyBorder="1" applyAlignment="1">
      <alignment horizontal="center" vertical="center"/>
    </xf>
    <xf numFmtId="3" fontId="10" fillId="46" borderId="21" xfId="0" applyNumberFormat="1" applyFont="1" applyFill="1" applyBorder="1" applyAlignment="1">
      <alignment vertical="center"/>
    </xf>
    <xf numFmtId="3" fontId="10" fillId="46" borderId="14" xfId="0" applyNumberFormat="1" applyFont="1" applyFill="1" applyBorder="1" applyAlignment="1">
      <alignment vertical="center"/>
    </xf>
    <xf numFmtId="3" fontId="9" fillId="46" borderId="13" xfId="0" applyNumberFormat="1" applyFont="1" applyFill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0" fontId="12" fillId="0" borderId="21" xfId="129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3" fontId="11" fillId="0" borderId="21" xfId="0" applyNumberFormat="1" applyFont="1" applyBorder="1" applyAlignment="1">
      <alignment horizontal="left" vertical="center" wrapText="1"/>
    </xf>
    <xf numFmtId="49" fontId="11" fillId="0" borderId="21" xfId="0" applyNumberFormat="1" applyFont="1" applyBorder="1" applyAlignment="1">
      <alignment vertical="center" wrapText="1"/>
    </xf>
    <xf numFmtId="3" fontId="12" fillId="0" borderId="21" xfId="0" applyNumberFormat="1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3" fontId="11" fillId="0" borderId="39" xfId="0" applyNumberFormat="1" applyFont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left" vertical="center" wrapText="1"/>
    </xf>
    <xf numFmtId="3" fontId="11" fillId="0" borderId="40" xfId="0" applyNumberFormat="1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3" fontId="11" fillId="0" borderId="41" xfId="0" applyNumberFormat="1" applyFont="1" applyBorder="1" applyAlignment="1">
      <alignment horizontal="center" vertical="center"/>
    </xf>
    <xf numFmtId="3" fontId="11" fillId="0" borderId="41" xfId="0" applyNumberFormat="1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right" vertical="center" wrapText="1"/>
    </xf>
    <xf numFmtId="0" fontId="18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3" fontId="11" fillId="0" borderId="21" xfId="132" applyNumberFormat="1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left" wrapText="1"/>
    </xf>
    <xf numFmtId="0" fontId="11" fillId="0" borderId="13" xfId="0" applyFont="1" applyBorder="1" applyAlignment="1">
      <alignment wrapText="1"/>
    </xf>
    <xf numFmtId="0" fontId="11" fillId="0" borderId="13" xfId="0" applyFont="1" applyBorder="1" applyAlignment="1">
      <alignment horizontal="right" wrapText="1"/>
    </xf>
    <xf numFmtId="3" fontId="11" fillId="0" borderId="13" xfId="0" applyNumberFormat="1" applyFont="1" applyBorder="1" applyAlignment="1">
      <alignment wrapText="1"/>
    </xf>
    <xf numFmtId="3" fontId="11" fillId="0" borderId="39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 vertical="center" wrapText="1"/>
    </xf>
    <xf numFmtId="49" fontId="11" fillId="0" borderId="39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left" wrapText="1"/>
    </xf>
    <xf numFmtId="3" fontId="10" fillId="46" borderId="14" xfId="0" applyNumberFormat="1" applyFont="1" applyFill="1" applyBorder="1" applyAlignment="1">
      <alignment horizontal="right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horizontal="center" vertical="center"/>
    </xf>
    <xf numFmtId="49" fontId="9" fillId="0" borderId="40" xfId="146" applyNumberFormat="1" applyFont="1" applyBorder="1" applyAlignment="1">
      <alignment horizontal="left" vertical="center" wrapText="1"/>
    </xf>
    <xf numFmtId="3" fontId="10" fillId="0" borderId="42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center" vertical="center"/>
    </xf>
    <xf numFmtId="0" fontId="8" fillId="0" borderId="41" xfId="0" applyFont="1" applyBorder="1"/>
    <xf numFmtId="0" fontId="8" fillId="0" borderId="21" xfId="0" applyFont="1" applyBorder="1" applyAlignment="1">
      <alignment wrapText="1"/>
    </xf>
    <xf numFmtId="3" fontId="9" fillId="0" borderId="21" xfId="145" applyNumberFormat="1" applyFont="1" applyBorder="1" applyAlignment="1">
      <alignment vertical="top" wrapText="1"/>
    </xf>
    <xf numFmtId="3" fontId="11" fillId="0" borderId="43" xfId="0" applyNumberFormat="1" applyFont="1" applyBorder="1" applyAlignment="1">
      <alignment horizontal="center" vertical="center"/>
    </xf>
    <xf numFmtId="3" fontId="8" fillId="0" borderId="21" xfId="145" applyNumberFormat="1" applyFont="1" applyBorder="1" applyAlignment="1">
      <alignment vertical="center" wrapText="1"/>
    </xf>
    <xf numFmtId="3" fontId="10" fillId="0" borderId="39" xfId="0" applyNumberFormat="1" applyFont="1" applyBorder="1" applyAlignment="1">
      <alignment horizontal="center" vertical="center"/>
    </xf>
    <xf numFmtId="3" fontId="18" fillId="0" borderId="21" xfId="145" applyNumberFormat="1" applyFont="1" applyBorder="1" applyAlignment="1">
      <alignment vertical="center" wrapText="1"/>
    </xf>
    <xf numFmtId="3" fontId="11" fillId="0" borderId="39" xfId="0" applyNumberFormat="1" applyFont="1" applyBorder="1" applyAlignment="1">
      <alignment horizontal="center" vertical="center"/>
    </xf>
    <xf numFmtId="3" fontId="77" fillId="0" borderId="2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7" fillId="0" borderId="39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vertical="center"/>
    </xf>
    <xf numFmtId="3" fontId="8" fillId="0" borderId="21" xfId="145" applyNumberFormat="1" applyFont="1" applyBorder="1" applyAlignment="1">
      <alignment vertical="top" wrapText="1"/>
    </xf>
    <xf numFmtId="0" fontId="8" fillId="0" borderId="13" xfId="0" applyFont="1" applyBorder="1" applyAlignment="1">
      <alignment horizontal="left" vertical="center" wrapText="1"/>
    </xf>
    <xf numFmtId="3" fontId="11" fillId="0" borderId="32" xfId="0" applyNumberFormat="1" applyFont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vertical="center"/>
    </xf>
    <xf numFmtId="3" fontId="11" fillId="46" borderId="14" xfId="0" applyNumberFormat="1" applyFont="1" applyFill="1" applyBorder="1" applyAlignment="1">
      <alignment vertical="center"/>
    </xf>
    <xf numFmtId="3" fontId="11" fillId="46" borderId="13" xfId="0" applyNumberFormat="1" applyFont="1" applyFill="1" applyBorder="1" applyAlignment="1">
      <alignment vertical="center"/>
    </xf>
    <xf numFmtId="3" fontId="11" fillId="46" borderId="13" xfId="173" applyNumberFormat="1" applyFont="1" applyFill="1" applyBorder="1" applyAlignment="1">
      <alignment horizontal="right" vertical="center"/>
    </xf>
    <xf numFmtId="3" fontId="18" fillId="0" borderId="21" xfId="0" applyNumberFormat="1" applyFont="1" applyBorder="1" applyAlignment="1">
      <alignment vertical="center"/>
    </xf>
    <xf numFmtId="3" fontId="89" fillId="0" borderId="39" xfId="0" applyNumberFormat="1" applyFont="1" applyBorder="1" applyAlignment="1">
      <alignment horizontal="center" vertical="center"/>
    </xf>
    <xf numFmtId="3" fontId="88" fillId="0" borderId="27" xfId="0" applyNumberFormat="1" applyFont="1" applyBorder="1" applyAlignment="1">
      <alignment vertical="center"/>
    </xf>
    <xf numFmtId="3" fontId="88" fillId="0" borderId="39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vertical="center"/>
    </xf>
    <xf numFmtId="0" fontId="8" fillId="0" borderId="39" xfId="166" applyFont="1" applyBorder="1" applyAlignment="1">
      <alignment vertical="center" wrapText="1"/>
    </xf>
    <xf numFmtId="49" fontId="8" fillId="0" borderId="21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43" xfId="0" applyNumberFormat="1" applyFont="1" applyBorder="1" applyAlignment="1">
      <alignment horizontal="left" vertical="center"/>
    </xf>
    <xf numFmtId="3" fontId="8" fillId="0" borderId="39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vertical="center" wrapText="1"/>
    </xf>
    <xf numFmtId="49" fontId="8" fillId="0" borderId="39" xfId="0" applyNumberFormat="1" applyFont="1" applyBorder="1" applyAlignment="1">
      <alignment vertical="center" wrapText="1"/>
    </xf>
    <xf numFmtId="0" fontId="88" fillId="0" borderId="28" xfId="0" applyFont="1" applyBorder="1" applyAlignment="1">
      <alignment vertical="center" wrapText="1"/>
    </xf>
    <xf numFmtId="0" fontId="88" fillId="0" borderId="0" xfId="0" applyFont="1" applyAlignment="1">
      <alignment vertical="center" wrapText="1"/>
    </xf>
    <xf numFmtId="3" fontId="8" fillId="0" borderId="13" xfId="0" applyNumberFormat="1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3" fontId="8" fillId="0" borderId="40" xfId="0" applyNumberFormat="1" applyFont="1" applyBorder="1" applyAlignment="1">
      <alignment horizontal="left" vertical="center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3" fontId="9" fillId="46" borderId="21" xfId="0" applyNumberFormat="1" applyFont="1" applyFill="1" applyBorder="1" applyAlignment="1">
      <alignment horizontal="left" vertical="center"/>
    </xf>
    <xf numFmtId="3" fontId="10" fillId="0" borderId="33" xfId="0" applyNumberFormat="1" applyFont="1" applyBorder="1" applyAlignment="1">
      <alignment horizontal="center" vertical="center"/>
    </xf>
    <xf numFmtId="0" fontId="9" fillId="0" borderId="40" xfId="167" applyFont="1" applyBorder="1" applyAlignment="1">
      <alignment horizontal="center" vertical="center"/>
    </xf>
    <xf numFmtId="49" fontId="92" fillId="0" borderId="37" xfId="172" applyNumberFormat="1" applyFont="1" applyBorder="1" applyAlignment="1">
      <alignment horizontal="left" vertical="center" wrapText="1"/>
    </xf>
    <xf numFmtId="3" fontId="88" fillId="49" borderId="44" xfId="0" applyNumberFormat="1" applyFont="1" applyFill="1" applyBorder="1" applyAlignment="1">
      <alignment horizontal="center" vertical="center"/>
    </xf>
    <xf numFmtId="3" fontId="8" fillId="0" borderId="37" xfId="0" applyNumberFormat="1" applyFont="1" applyBorder="1" applyAlignment="1">
      <alignment vertical="center"/>
    </xf>
    <xf numFmtId="3" fontId="88" fillId="49" borderId="35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3" fontId="88" fillId="0" borderId="45" xfId="0" applyNumberFormat="1" applyFont="1" applyBorder="1" applyAlignment="1">
      <alignment vertical="center"/>
    </xf>
    <xf numFmtId="3" fontId="10" fillId="49" borderId="35" xfId="0" applyNumberFormat="1" applyFont="1" applyFill="1" applyBorder="1" applyAlignment="1">
      <alignment horizontal="center" vertical="center"/>
    </xf>
    <xf numFmtId="0" fontId="9" fillId="0" borderId="21" xfId="138" applyFont="1" applyBorder="1" applyAlignment="1">
      <alignment horizontal="center" vertical="center"/>
    </xf>
    <xf numFmtId="3" fontId="89" fillId="49" borderId="35" xfId="0" applyNumberFormat="1" applyFont="1" applyFill="1" applyBorder="1" applyAlignment="1">
      <alignment horizontal="center" vertical="center"/>
    </xf>
    <xf numFmtId="3" fontId="11" fillId="49" borderId="13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3" fontId="89" fillId="49" borderId="13" xfId="0" applyNumberFormat="1" applyFont="1" applyFill="1" applyBorder="1" applyAlignment="1">
      <alignment horizontal="center" vertical="center"/>
    </xf>
    <xf numFmtId="3" fontId="11" fillId="49" borderId="18" xfId="0" applyNumberFormat="1" applyFont="1" applyFill="1" applyBorder="1" applyAlignment="1">
      <alignment horizontal="center" vertical="center"/>
    </xf>
    <xf numFmtId="0" fontId="8" fillId="0" borderId="21" xfId="137" applyFont="1" applyBorder="1" applyAlignment="1">
      <alignment horizontal="left" vertical="top" wrapText="1"/>
    </xf>
    <xf numFmtId="0" fontId="9" fillId="0" borderId="21" xfId="138" applyFont="1" applyBorder="1" applyAlignment="1">
      <alignment horizontal="center" vertical="top"/>
    </xf>
    <xf numFmtId="3" fontId="88" fillId="0" borderId="14" xfId="0" applyNumberFormat="1" applyFont="1" applyBorder="1" applyAlignment="1">
      <alignment vertical="center"/>
    </xf>
    <xf numFmtId="49" fontId="92" fillId="0" borderId="21" xfId="172" applyNumberFormat="1" applyFont="1" applyBorder="1" applyAlignment="1">
      <alignment horizontal="left" vertical="center" wrapText="1"/>
    </xf>
    <xf numFmtId="3" fontId="89" fillId="49" borderId="18" xfId="0" applyNumberFormat="1" applyFont="1" applyFill="1" applyBorder="1" applyAlignment="1">
      <alignment horizontal="center" vertical="center"/>
    </xf>
    <xf numFmtId="3" fontId="89" fillId="49" borderId="44" xfId="0" applyNumberFormat="1" applyFont="1" applyFill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0" fontId="89" fillId="49" borderId="13" xfId="138" applyFont="1" applyFill="1" applyBorder="1" applyAlignment="1">
      <alignment horizontal="center" vertical="top" wrapText="1"/>
    </xf>
    <xf numFmtId="0" fontId="8" fillId="0" borderId="46" xfId="0" applyFont="1" applyBorder="1" applyAlignment="1">
      <alignment horizontal="left" vertical="center" wrapText="1"/>
    </xf>
    <xf numFmtId="3" fontId="89" fillId="49" borderId="39" xfId="0" applyNumberFormat="1" applyFont="1" applyFill="1" applyBorder="1" applyAlignment="1">
      <alignment horizontal="center" vertical="center"/>
    </xf>
    <xf numFmtId="3" fontId="11" fillId="49" borderId="47" xfId="0" applyNumberFormat="1" applyFont="1" applyFill="1" applyBorder="1" applyAlignment="1">
      <alignment horizontal="center" vertical="center"/>
    </xf>
    <xf numFmtId="3" fontId="8" fillId="0" borderId="46" xfId="0" applyNumberFormat="1" applyFont="1" applyBorder="1" applyAlignment="1">
      <alignment horizontal="left" vertical="center" wrapText="1"/>
    </xf>
    <xf numFmtId="3" fontId="10" fillId="46" borderId="48" xfId="0" applyNumberFormat="1" applyFont="1" applyFill="1" applyBorder="1" applyAlignment="1">
      <alignment vertical="center"/>
    </xf>
    <xf numFmtId="3" fontId="11" fillId="0" borderId="49" xfId="0" applyNumberFormat="1" applyFont="1" applyBorder="1" applyAlignment="1">
      <alignment vertical="center"/>
    </xf>
    <xf numFmtId="3" fontId="8" fillId="0" borderId="50" xfId="0" applyNumberFormat="1" applyFont="1" applyBorder="1" applyAlignment="1">
      <alignment horizontal="left" vertical="center" wrapText="1"/>
    </xf>
    <xf numFmtId="3" fontId="88" fillId="0" borderId="49" xfId="0" applyNumberFormat="1" applyFont="1" applyBorder="1" applyAlignment="1">
      <alignment vertical="center"/>
    </xf>
    <xf numFmtId="3" fontId="11" fillId="46" borderId="13" xfId="0" applyNumberFormat="1" applyFont="1" applyFill="1" applyBorder="1" applyAlignment="1">
      <alignment horizontal="center" vertical="center"/>
    </xf>
    <xf numFmtId="3" fontId="11" fillId="46" borderId="21" xfId="0" applyNumberFormat="1" applyFont="1" applyFill="1" applyBorder="1" applyAlignment="1">
      <alignment horizontal="center" vertical="center"/>
    </xf>
    <xf numFmtId="0" fontId="9" fillId="0" borderId="13" xfId="138" applyFont="1" applyBorder="1" applyAlignment="1">
      <alignment horizontal="center" vertical="center"/>
    </xf>
    <xf numFmtId="0" fontId="9" fillId="0" borderId="21" xfId="167" applyFont="1" applyBorder="1" applyAlignment="1">
      <alignment horizontal="center" vertical="center"/>
    </xf>
    <xf numFmtId="0" fontId="8" fillId="0" borderId="21" xfId="167" applyFont="1" applyBorder="1" applyAlignment="1">
      <alignment vertical="center"/>
    </xf>
    <xf numFmtId="0" fontId="8" fillId="0" borderId="21" xfId="166" applyFont="1" applyBorder="1" applyAlignment="1">
      <alignment vertical="center"/>
    </xf>
    <xf numFmtId="49" fontId="8" fillId="0" borderId="21" xfId="145" applyNumberFormat="1" applyFont="1" applyBorder="1" applyAlignment="1">
      <alignment horizontal="left" vertical="center" wrapText="1"/>
    </xf>
    <xf numFmtId="0" fontId="8" fillId="0" borderId="21" xfId="169" applyFont="1" applyBorder="1" applyAlignment="1">
      <alignment vertical="center" wrapText="1"/>
    </xf>
    <xf numFmtId="3" fontId="11" fillId="0" borderId="33" xfId="0" applyNumberFormat="1" applyFont="1" applyBorder="1" applyAlignment="1">
      <alignment horizontal="center" vertical="center"/>
    </xf>
    <xf numFmtId="0" fontId="8" fillId="0" borderId="21" xfId="138" applyFont="1" applyBorder="1" applyAlignment="1">
      <alignment vertical="center"/>
    </xf>
    <xf numFmtId="0" fontId="95" fillId="0" borderId="21" xfId="138" applyFont="1" applyBorder="1" applyAlignment="1">
      <alignment vertical="top"/>
    </xf>
    <xf numFmtId="3" fontId="96" fillId="0" borderId="14" xfId="0" applyNumberFormat="1" applyFont="1" applyBorder="1" applyAlignment="1">
      <alignment vertical="center"/>
    </xf>
    <xf numFmtId="0" fontId="9" fillId="0" borderId="21" xfId="138" applyFont="1" applyBorder="1" applyAlignment="1">
      <alignment vertical="top"/>
    </xf>
    <xf numFmtId="0" fontId="8" fillId="0" borderId="21" xfId="135" applyFont="1" applyBorder="1" applyAlignment="1">
      <alignment vertical="top" wrapText="1"/>
    </xf>
    <xf numFmtId="0" fontId="9" fillId="0" borderId="21" xfId="138" applyFont="1" applyBorder="1" applyAlignment="1">
      <alignment vertical="center"/>
    </xf>
    <xf numFmtId="3" fontId="95" fillId="0" borderId="21" xfId="0" applyNumberFormat="1" applyFont="1" applyBorder="1" applyAlignment="1">
      <alignment vertical="center"/>
    </xf>
    <xf numFmtId="0" fontId="95" fillId="0" borderId="21" xfId="0" applyFont="1" applyBorder="1" applyAlignment="1">
      <alignment horizontal="left" vertical="center" wrapText="1"/>
    </xf>
    <xf numFmtId="0" fontId="8" fillId="0" borderId="21" xfId="138" applyFont="1" applyBorder="1" applyAlignment="1">
      <alignment vertical="top"/>
    </xf>
    <xf numFmtId="3" fontId="8" fillId="0" borderId="39" xfId="0" applyNumberFormat="1" applyFont="1" applyBorder="1" applyAlignment="1">
      <alignment vertical="center" wrapText="1"/>
    </xf>
    <xf numFmtId="3" fontId="12" fillId="0" borderId="43" xfId="0" applyNumberFormat="1" applyFont="1" applyBorder="1" applyAlignment="1">
      <alignment horizontal="center" vertical="center"/>
    </xf>
    <xf numFmtId="3" fontId="9" fillId="46" borderId="37" xfId="0" applyNumberFormat="1" applyFont="1" applyFill="1" applyBorder="1" applyAlignment="1">
      <alignment vertical="center"/>
    </xf>
    <xf numFmtId="3" fontId="11" fillId="46" borderId="48" xfId="0" applyNumberFormat="1" applyFont="1" applyFill="1" applyBorder="1" applyAlignment="1">
      <alignment vertical="center"/>
    </xf>
    <xf numFmtId="0" fontId="8" fillId="0" borderId="46" xfId="170" applyFont="1" applyBorder="1" applyAlignment="1">
      <alignment vertical="center" wrapText="1"/>
    </xf>
    <xf numFmtId="0" fontId="11" fillId="0" borderId="14" xfId="170" applyFont="1" applyBorder="1" applyAlignment="1">
      <alignment vertical="center" wrapText="1"/>
    </xf>
    <xf numFmtId="3" fontId="11" fillId="0" borderId="13" xfId="17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horizontal="left" vertical="center"/>
    </xf>
    <xf numFmtId="0" fontId="88" fillId="0" borderId="27" xfId="170" applyFont="1" applyBorder="1" applyAlignment="1">
      <alignment vertical="center" wrapText="1"/>
    </xf>
    <xf numFmtId="3" fontId="89" fillId="0" borderId="27" xfId="0" applyNumberFormat="1" applyFont="1" applyBorder="1" applyAlignment="1">
      <alignment vertical="center"/>
    </xf>
    <xf numFmtId="49" fontId="8" fillId="0" borderId="39" xfId="159" applyNumberFormat="1" applyFont="1" applyBorder="1" applyAlignment="1">
      <alignment horizontal="left" vertical="top" wrapText="1"/>
    </xf>
    <xf numFmtId="3" fontId="89" fillId="0" borderId="51" xfId="0" applyNumberFormat="1" applyFont="1" applyBorder="1" applyAlignment="1">
      <alignment vertical="center"/>
    </xf>
    <xf numFmtId="49" fontId="8" fillId="0" borderId="0" xfId="159" applyNumberFormat="1" applyFont="1" applyAlignment="1">
      <alignment horizontal="left" vertical="top" wrapText="1"/>
    </xf>
    <xf numFmtId="3" fontId="89" fillId="0" borderId="52" xfId="0" applyNumberFormat="1" applyFont="1" applyBorder="1" applyAlignment="1">
      <alignment vertical="center"/>
    </xf>
    <xf numFmtId="3" fontId="11" fillId="48" borderId="13" xfId="0" applyNumberFormat="1" applyFont="1" applyFill="1" applyBorder="1" applyAlignment="1">
      <alignment vertical="center"/>
    </xf>
    <xf numFmtId="3" fontId="97" fillId="0" borderId="13" xfId="173" applyNumberFormat="1" applyFont="1" applyBorder="1" applyAlignment="1">
      <alignment horizontal="center" vertical="top" wrapText="1"/>
    </xf>
    <xf numFmtId="3" fontId="10" fillId="0" borderId="48" xfId="0" applyNumberFormat="1" applyFont="1" applyBorder="1" applyAlignment="1">
      <alignment vertical="center"/>
    </xf>
    <xf numFmtId="3" fontId="11" fillId="0" borderId="18" xfId="173" applyNumberFormat="1" applyFont="1" applyBorder="1" applyAlignment="1">
      <alignment horizontal="right" vertical="center"/>
    </xf>
    <xf numFmtId="3" fontId="11" fillId="0" borderId="37" xfId="0" applyNumberFormat="1" applyFont="1" applyBorder="1" applyAlignment="1">
      <alignment vertical="center"/>
    </xf>
    <xf numFmtId="3" fontId="11" fillId="0" borderId="48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8" fillId="48" borderId="21" xfId="0" applyNumberFormat="1" applyFont="1" applyFill="1" applyBorder="1" applyAlignment="1">
      <alignment vertical="center"/>
    </xf>
    <xf numFmtId="1" fontId="12" fillId="0" borderId="13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horizontal="right" vertical="center"/>
    </xf>
    <xf numFmtId="3" fontId="95" fillId="0" borderId="39" xfId="0" applyNumberFormat="1" applyFont="1" applyBorder="1" applyAlignment="1">
      <alignment vertical="center" wrapText="1"/>
    </xf>
    <xf numFmtId="3" fontId="96" fillId="0" borderId="13" xfId="0" applyNumberFormat="1" applyFont="1" applyBorder="1" applyAlignment="1">
      <alignment horizontal="center" vertical="center"/>
    </xf>
    <xf numFmtId="3" fontId="8" fillId="0" borderId="21" xfId="173" applyNumberFormat="1" applyFont="1" applyBorder="1" applyAlignment="1">
      <alignment horizontal="left" vertical="center" wrapText="1"/>
    </xf>
    <xf numFmtId="3" fontId="10" fillId="48" borderId="13" xfId="0" applyNumberFormat="1" applyFont="1" applyFill="1" applyBorder="1" applyAlignment="1">
      <alignment horizontal="center" vertical="center"/>
    </xf>
    <xf numFmtId="3" fontId="10" fillId="48" borderId="21" xfId="0" applyNumberFormat="1" applyFont="1" applyFill="1" applyBorder="1" applyAlignment="1">
      <alignment horizontal="center" vertical="center"/>
    </xf>
    <xf numFmtId="3" fontId="9" fillId="48" borderId="21" xfId="0" applyNumberFormat="1" applyFont="1" applyFill="1" applyBorder="1" applyAlignment="1">
      <alignment vertical="center"/>
    </xf>
    <xf numFmtId="3" fontId="10" fillId="48" borderId="14" xfId="0" applyNumberFormat="1" applyFont="1" applyFill="1" applyBorder="1" applyAlignment="1">
      <alignment vertical="center"/>
    </xf>
    <xf numFmtId="3" fontId="10" fillId="48" borderId="13" xfId="0" applyNumberFormat="1" applyFont="1" applyFill="1" applyBorder="1" applyAlignment="1">
      <alignment vertical="center"/>
    </xf>
    <xf numFmtId="3" fontId="11" fillId="48" borderId="13" xfId="0" applyNumberFormat="1" applyFont="1" applyFill="1" applyBorder="1" applyAlignment="1">
      <alignment horizontal="right" vertical="center"/>
    </xf>
    <xf numFmtId="3" fontId="8" fillId="0" borderId="37" xfId="0" applyNumberFormat="1" applyFont="1" applyBorder="1" applyAlignment="1">
      <alignment horizontal="left" vertical="center"/>
    </xf>
    <xf numFmtId="3" fontId="10" fillId="48" borderId="14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3" fontId="10" fillId="48" borderId="32" xfId="0" applyNumberFormat="1" applyFont="1" applyFill="1" applyBorder="1" applyAlignment="1">
      <alignment horizontal="center" vertical="center"/>
    </xf>
    <xf numFmtId="3" fontId="10" fillId="46" borderId="14" xfId="0" applyNumberFormat="1" applyFont="1" applyFill="1" applyBorder="1" applyAlignment="1">
      <alignment horizontal="left" vertical="center"/>
    </xf>
    <xf numFmtId="3" fontId="10" fillId="46" borderId="13" xfId="0" applyNumberFormat="1" applyFont="1" applyFill="1" applyBorder="1" applyAlignment="1">
      <alignment horizontal="right" vertical="center"/>
    </xf>
    <xf numFmtId="3" fontId="18" fillId="0" borderId="21" xfId="0" applyNumberFormat="1" applyFont="1" applyBorder="1" applyAlignment="1">
      <alignment horizontal="left" vertical="center"/>
    </xf>
    <xf numFmtId="0" fontId="8" fillId="0" borderId="43" xfId="136" applyFont="1" applyBorder="1" applyAlignment="1">
      <alignment vertical="top"/>
    </xf>
    <xf numFmtId="3" fontId="11" fillId="0" borderId="28" xfId="0" applyNumberFormat="1" applyFont="1" applyBorder="1" applyAlignment="1">
      <alignment vertical="center"/>
    </xf>
    <xf numFmtId="3" fontId="13" fillId="48" borderId="13" xfId="173" applyNumberFormat="1" applyFont="1" applyFill="1" applyBorder="1" applyAlignment="1">
      <alignment horizontal="center" vertical="top" wrapText="1"/>
    </xf>
    <xf numFmtId="3" fontId="8" fillId="48" borderId="21" xfId="173" applyNumberFormat="1" applyFont="1" applyFill="1" applyBorder="1" applyAlignment="1">
      <alignment horizontal="left" vertical="top"/>
    </xf>
    <xf numFmtId="3" fontId="11" fillId="48" borderId="13" xfId="173" applyNumberFormat="1" applyFont="1" applyFill="1" applyBorder="1" applyAlignment="1">
      <alignment horizontal="right" vertical="top" wrapText="1"/>
    </xf>
    <xf numFmtId="3" fontId="11" fillId="48" borderId="13" xfId="173" applyNumberFormat="1" applyFont="1" applyFill="1" applyBorder="1" applyAlignment="1">
      <alignment vertical="top" wrapText="1"/>
    </xf>
    <xf numFmtId="3" fontId="8" fillId="0" borderId="53" xfId="0" applyNumberFormat="1" applyFont="1" applyBorder="1" applyAlignment="1">
      <alignment vertical="center" wrapText="1"/>
    </xf>
    <xf numFmtId="0" fontId="8" fillId="0" borderId="39" xfId="168" applyFont="1" applyBorder="1" applyAlignment="1">
      <alignment vertical="center"/>
    </xf>
    <xf numFmtId="0" fontId="8" fillId="0" borderId="50" xfId="168" applyFont="1" applyBorder="1" applyAlignment="1">
      <alignment vertical="center" wrapText="1"/>
    </xf>
    <xf numFmtId="3" fontId="10" fillId="46" borderId="14" xfId="0" applyNumberFormat="1" applyFont="1" applyFill="1" applyBorder="1" applyAlignment="1">
      <alignment horizontal="center" vertical="center"/>
    </xf>
    <xf numFmtId="0" fontId="8" fillId="46" borderId="42" xfId="0" applyFont="1" applyFill="1" applyBorder="1" applyAlignment="1">
      <alignment vertical="center"/>
    </xf>
    <xf numFmtId="0" fontId="8" fillId="46" borderId="42" xfId="0" applyFont="1" applyFill="1" applyBorder="1" applyAlignment="1">
      <alignment horizontal="center" vertical="center"/>
    </xf>
    <xf numFmtId="3" fontId="10" fillId="46" borderId="33" xfId="0" applyNumberFormat="1" applyFont="1" applyFill="1" applyBorder="1" applyAlignment="1">
      <alignment vertical="center"/>
    </xf>
    <xf numFmtId="0" fontId="8" fillId="0" borderId="21" xfId="129" applyFont="1" applyBorder="1" applyAlignment="1">
      <alignment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3" xfId="153" applyNumberFormat="1" applyFont="1" applyBorder="1" applyAlignment="1">
      <alignment horizontal="right" vertical="center"/>
    </xf>
    <xf numFmtId="3" fontId="10" fillId="46" borderId="48" xfId="0" applyNumberFormat="1" applyFont="1" applyFill="1" applyBorder="1" applyAlignment="1">
      <alignment horizontal="center" vertical="center"/>
    </xf>
    <xf numFmtId="3" fontId="98" fillId="0" borderId="0" xfId="0" applyNumberFormat="1" applyFont="1" applyAlignment="1">
      <alignment vertical="center"/>
    </xf>
    <xf numFmtId="0" fontId="8" fillId="0" borderId="21" xfId="166" applyFont="1" applyBorder="1" applyAlignment="1">
      <alignment vertical="center" wrapText="1"/>
    </xf>
    <xf numFmtId="0" fontId="100" fillId="0" borderId="37" xfId="161" applyFont="1" applyBorder="1" applyAlignment="1">
      <alignment vertical="center"/>
    </xf>
    <xf numFmtId="0" fontId="100" fillId="0" borderId="18" xfId="161" applyFont="1" applyBorder="1" applyAlignment="1">
      <alignment horizontal="center" vertical="center"/>
    </xf>
    <xf numFmtId="0" fontId="95" fillId="0" borderId="18" xfId="161" applyFont="1" applyBorder="1" applyAlignment="1">
      <alignment vertical="center"/>
    </xf>
    <xf numFmtId="0" fontId="100" fillId="0" borderId="21" xfId="161" applyFont="1" applyBorder="1" applyAlignment="1">
      <alignment vertical="center"/>
    </xf>
    <xf numFmtId="0" fontId="100" fillId="0" borderId="13" xfId="161" applyFont="1" applyBorder="1" applyAlignment="1">
      <alignment horizontal="center" vertical="center"/>
    </xf>
    <xf numFmtId="0" fontId="95" fillId="0" borderId="13" xfId="161" applyFont="1" applyBorder="1" applyAlignment="1">
      <alignment vertical="center"/>
    </xf>
    <xf numFmtId="0" fontId="95" fillId="0" borderId="21" xfId="129" applyFont="1" applyBorder="1" applyAlignment="1">
      <alignment vertical="center"/>
    </xf>
    <xf numFmtId="0" fontId="95" fillId="0" borderId="13" xfId="129" applyFont="1" applyBorder="1" applyAlignment="1">
      <alignment horizontal="center" vertical="center"/>
    </xf>
    <xf numFmtId="3" fontId="100" fillId="0" borderId="13" xfId="0" applyNumberFormat="1" applyFont="1" applyBorder="1" applyAlignment="1">
      <alignment vertical="center"/>
    </xf>
    <xf numFmtId="3" fontId="95" fillId="0" borderId="13" xfId="161" applyNumberFormat="1" applyFont="1" applyBorder="1" applyAlignment="1">
      <alignment vertical="center"/>
    </xf>
    <xf numFmtId="0" fontId="95" fillId="0" borderId="21" xfId="161" applyFont="1" applyBorder="1" applyAlignment="1">
      <alignment vertical="center" wrapText="1"/>
    </xf>
    <xf numFmtId="0" fontId="96" fillId="0" borderId="13" xfId="161" applyFont="1" applyBorder="1" applyAlignment="1">
      <alignment horizontal="center" vertical="center" wrapText="1"/>
    </xf>
    <xf numFmtId="0" fontId="95" fillId="0" borderId="21" xfId="161" applyFont="1" applyBorder="1" applyAlignment="1">
      <alignment vertical="center"/>
    </xf>
    <xf numFmtId="167" fontId="95" fillId="0" borderId="13" xfId="84" applyNumberFormat="1" applyFont="1" applyBorder="1" applyAlignment="1">
      <alignment horizontal="center" vertical="center"/>
    </xf>
    <xf numFmtId="3" fontId="100" fillId="46" borderId="21" xfId="0" applyNumberFormat="1" applyFont="1" applyFill="1" applyBorder="1" applyAlignment="1">
      <alignment vertical="center"/>
    </xf>
    <xf numFmtId="3" fontId="100" fillId="46" borderId="13" xfId="161" applyNumberFormat="1" applyFont="1" applyFill="1" applyBorder="1" applyAlignment="1">
      <alignment vertical="center"/>
    </xf>
    <xf numFmtId="0" fontId="95" fillId="0" borderId="13" xfId="0" applyFont="1" applyBorder="1" applyAlignment="1">
      <alignment vertical="center"/>
    </xf>
    <xf numFmtId="3" fontId="100" fillId="0" borderId="13" xfId="161" applyNumberFormat="1" applyFont="1" applyBorder="1" applyAlignment="1">
      <alignment vertical="center"/>
    </xf>
    <xf numFmtId="0" fontId="95" fillId="0" borderId="21" xfId="165" applyFont="1" applyBorder="1" applyAlignment="1">
      <alignment vertical="center" wrapText="1"/>
    </xf>
    <xf numFmtId="0" fontId="101" fillId="0" borderId="13" xfId="161" applyFont="1" applyBorder="1" applyAlignment="1">
      <alignment vertical="center" wrapText="1"/>
    </xf>
    <xf numFmtId="3" fontId="100" fillId="46" borderId="13" xfId="0" applyNumberFormat="1" applyFont="1" applyFill="1" applyBorder="1" applyAlignment="1">
      <alignment horizontal="center" vertical="center"/>
    </xf>
    <xf numFmtId="3" fontId="100" fillId="0" borderId="21" xfId="0" applyNumberFormat="1" applyFont="1" applyBorder="1" applyAlignment="1">
      <alignment vertical="center"/>
    </xf>
    <xf numFmtId="3" fontId="102" fillId="0" borderId="13" xfId="0" applyNumberFormat="1" applyFont="1" applyBorder="1" applyAlignment="1">
      <alignment horizontal="center" vertical="center"/>
    </xf>
    <xf numFmtId="0" fontId="95" fillId="0" borderId="21" xfId="164" applyFont="1" applyBorder="1" applyAlignment="1">
      <alignment vertical="center" wrapText="1"/>
    </xf>
    <xf numFmtId="3" fontId="100" fillId="0" borderId="13" xfId="0" applyNumberFormat="1" applyFont="1" applyBorder="1" applyAlignment="1">
      <alignment horizontal="center" vertical="center"/>
    </xf>
    <xf numFmtId="3" fontId="95" fillId="0" borderId="21" xfId="0" applyNumberFormat="1" applyFont="1" applyBorder="1" applyAlignment="1">
      <alignment vertical="center" wrapText="1"/>
    </xf>
    <xf numFmtId="3" fontId="95" fillId="0" borderId="13" xfId="0" applyNumberFormat="1" applyFont="1" applyBorder="1" applyAlignment="1">
      <alignment horizontal="center" vertical="center"/>
    </xf>
    <xf numFmtId="0" fontId="102" fillId="0" borderId="13" xfId="161" applyFont="1" applyBorder="1" applyAlignment="1">
      <alignment horizontal="center" vertical="center"/>
    </xf>
    <xf numFmtId="3" fontId="95" fillId="0" borderId="21" xfId="0" applyNumberFormat="1" applyFont="1" applyBorder="1" applyAlignment="1">
      <alignment horizontal="left" vertical="center" wrapText="1"/>
    </xf>
    <xf numFmtId="3" fontId="96" fillId="0" borderId="13" xfId="0" applyNumberFormat="1" applyFont="1" applyBorder="1" applyAlignment="1">
      <alignment horizontal="center" vertical="center" wrapText="1"/>
    </xf>
    <xf numFmtId="49" fontId="96" fillId="0" borderId="13" xfId="161" applyNumberFormat="1" applyFont="1" applyBorder="1" applyAlignment="1">
      <alignment horizontal="center" vertical="center"/>
    </xf>
    <xf numFmtId="0" fontId="95" fillId="0" borderId="21" xfId="132" applyFont="1" applyBorder="1" applyAlignment="1">
      <alignment vertical="center" wrapText="1"/>
    </xf>
    <xf numFmtId="49" fontId="96" fillId="0" borderId="13" xfId="132" applyNumberFormat="1" applyFont="1" applyBorder="1" applyAlignment="1">
      <alignment horizontal="center" vertical="center" wrapText="1"/>
    </xf>
    <xf numFmtId="0" fontId="95" fillId="0" borderId="13" xfId="161" applyFont="1" applyBorder="1" applyAlignment="1">
      <alignment horizontal="left" vertical="center"/>
    </xf>
    <xf numFmtId="49" fontId="96" fillId="0" borderId="13" xfId="161" applyNumberFormat="1" applyFont="1" applyBorder="1" applyAlignment="1">
      <alignment horizontal="center" vertical="center" wrapText="1"/>
    </xf>
    <xf numFmtId="3" fontId="96" fillId="0" borderId="21" xfId="0" applyNumberFormat="1" applyFont="1" applyBorder="1" applyAlignment="1">
      <alignment vertical="center" wrapText="1"/>
    </xf>
    <xf numFmtId="49" fontId="96" fillId="0" borderId="13" xfId="0" applyNumberFormat="1" applyFont="1" applyBorder="1" applyAlignment="1">
      <alignment horizontal="center" vertical="center" wrapText="1"/>
    </xf>
    <xf numFmtId="3" fontId="95" fillId="0" borderId="13" xfId="161" applyNumberFormat="1" applyFont="1" applyBorder="1" applyAlignment="1">
      <alignment vertical="center" wrapText="1"/>
    </xf>
    <xf numFmtId="0" fontId="100" fillId="46" borderId="21" xfId="161" applyFont="1" applyFill="1" applyBorder="1" applyAlignment="1">
      <alignment vertical="center"/>
    </xf>
    <xf numFmtId="0" fontId="102" fillId="46" borderId="13" xfId="161" applyFont="1" applyFill="1" applyBorder="1" applyAlignment="1">
      <alignment horizontal="center" vertical="center"/>
    </xf>
    <xf numFmtId="3" fontId="95" fillId="0" borderId="13" xfId="0" applyNumberFormat="1" applyFont="1" applyBorder="1" applyAlignment="1">
      <alignment horizontal="center" vertical="center" wrapText="1"/>
    </xf>
    <xf numFmtId="3" fontId="95" fillId="0" borderId="13" xfId="0" applyNumberFormat="1" applyFont="1" applyBorder="1" applyAlignment="1">
      <alignment vertical="center"/>
    </xf>
    <xf numFmtId="3" fontId="95" fillId="0" borderId="13" xfId="161" applyNumberFormat="1" applyFont="1" applyBorder="1" applyAlignment="1">
      <alignment horizontal="center" vertical="center" wrapText="1"/>
    </xf>
    <xf numFmtId="0" fontId="95" fillId="0" borderId="13" xfId="132" applyFont="1" applyBorder="1" applyAlignment="1">
      <alignment horizontal="center" vertical="center" wrapText="1"/>
    </xf>
    <xf numFmtId="0" fontId="95" fillId="0" borderId="0" xfId="132" applyFont="1" applyAlignment="1">
      <alignment vertical="center" wrapText="1"/>
    </xf>
    <xf numFmtId="3" fontId="95" fillId="0" borderId="13" xfId="0" applyNumberFormat="1" applyFont="1" applyBorder="1" applyAlignment="1">
      <alignment vertical="center" wrapText="1"/>
    </xf>
    <xf numFmtId="3" fontId="95" fillId="0" borderId="13" xfId="134" applyNumberFormat="1" applyFont="1" applyBorder="1" applyAlignment="1">
      <alignment vertical="top" wrapText="1"/>
    </xf>
    <xf numFmtId="3" fontId="96" fillId="0" borderId="13" xfId="0" applyNumberFormat="1" applyFont="1" applyBorder="1" applyAlignment="1">
      <alignment horizontal="left" vertical="center" wrapText="1"/>
    </xf>
    <xf numFmtId="3" fontId="95" fillId="0" borderId="13" xfId="133" applyNumberFormat="1" applyFont="1" applyBorder="1" applyAlignment="1">
      <alignment vertical="top" wrapText="1"/>
    </xf>
    <xf numFmtId="0" fontId="95" fillId="0" borderId="21" xfId="138" applyFont="1" applyBorder="1" applyAlignment="1">
      <alignment vertical="top" wrapText="1"/>
    </xf>
    <xf numFmtId="0" fontId="100" fillId="46" borderId="13" xfId="161" applyFont="1" applyFill="1" applyBorder="1" applyAlignment="1">
      <alignment horizontal="center" vertical="center"/>
    </xf>
    <xf numFmtId="3" fontId="95" fillId="0" borderId="13" xfId="161" applyNumberFormat="1" applyFont="1" applyBorder="1" applyAlignment="1">
      <alignment horizontal="center" vertical="center"/>
    </xf>
    <xf numFmtId="0" fontId="95" fillId="0" borderId="13" xfId="161" applyFont="1" applyBorder="1" applyAlignment="1">
      <alignment horizontal="center" vertical="center" wrapText="1"/>
    </xf>
    <xf numFmtId="0" fontId="95" fillId="0" borderId="21" xfId="131" applyFont="1" applyBorder="1" applyAlignment="1">
      <alignment vertical="center"/>
    </xf>
    <xf numFmtId="3" fontId="95" fillId="0" borderId="13" xfId="131" applyNumberFormat="1" applyFont="1" applyBorder="1" applyAlignment="1">
      <alignment horizontal="center" vertical="center"/>
    </xf>
    <xf numFmtId="0" fontId="95" fillId="0" borderId="13" xfId="161" applyFont="1" applyBorder="1" applyAlignment="1">
      <alignment vertical="center" wrapText="1"/>
    </xf>
    <xf numFmtId="0" fontId="95" fillId="0" borderId="37" xfId="161" applyFont="1" applyBorder="1" applyAlignment="1">
      <alignment vertical="center"/>
    </xf>
    <xf numFmtId="0" fontId="95" fillId="0" borderId="37" xfId="161" applyFont="1" applyBorder="1" applyAlignment="1">
      <alignment vertical="center" wrapText="1"/>
    </xf>
    <xf numFmtId="0" fontId="95" fillId="0" borderId="21" xfId="131" applyFont="1" applyBorder="1" applyAlignment="1">
      <alignment vertical="center" wrapText="1"/>
    </xf>
    <xf numFmtId="0" fontId="95" fillId="0" borderId="13" xfId="131" applyFont="1" applyBorder="1" applyAlignment="1">
      <alignment horizontal="center" vertical="center" wrapText="1"/>
    </xf>
    <xf numFmtId="0" fontId="95" fillId="0" borderId="13" xfId="0" applyFont="1" applyBorder="1" applyAlignment="1">
      <alignment vertical="center" wrapText="1"/>
    </xf>
    <xf numFmtId="3" fontId="100" fillId="46" borderId="13" xfId="161" applyNumberFormat="1" applyFont="1" applyFill="1" applyBorder="1" applyAlignment="1">
      <alignment vertical="center" wrapText="1"/>
    </xf>
    <xf numFmtId="0" fontId="103" fillId="0" borderId="0" xfId="150" applyFont="1" applyBorder="1" applyAlignment="1">
      <alignment horizontal="center"/>
    </xf>
    <xf numFmtId="0" fontId="77" fillId="46" borderId="18" xfId="150" applyFont="1" applyFill="1" applyBorder="1" applyAlignment="1">
      <alignment horizontal="center" vertical="center" wrapText="1"/>
    </xf>
    <xf numFmtId="3" fontId="95" fillId="46" borderId="13" xfId="0" applyNumberFormat="1" applyFont="1" applyFill="1" applyBorder="1" applyAlignment="1">
      <alignment horizontal="center" vertical="center"/>
    </xf>
    <xf numFmtId="0" fontId="95" fillId="46" borderId="13" xfId="0" applyFont="1" applyFill="1" applyBorder="1" applyAlignment="1">
      <alignment vertical="center" wrapText="1"/>
    </xf>
    <xf numFmtId="0" fontId="100" fillId="46" borderId="21" xfId="129" applyFont="1" applyFill="1" applyBorder="1" applyAlignment="1">
      <alignment vertical="center" wrapText="1"/>
    </xf>
    <xf numFmtId="0" fontId="100" fillId="46" borderId="13" xfId="129" applyFont="1" applyFill="1" applyBorder="1" applyAlignment="1">
      <alignment horizontal="center" vertical="center" wrapText="1"/>
    </xf>
    <xf numFmtId="0" fontId="100" fillId="46" borderId="13" xfId="161" applyFont="1" applyFill="1" applyBorder="1" applyAlignment="1">
      <alignment vertical="center"/>
    </xf>
    <xf numFmtId="0" fontId="11" fillId="0" borderId="14" xfId="140" applyFont="1" applyBorder="1" applyAlignment="1">
      <alignment vertical="center"/>
    </xf>
    <xf numFmtId="49" fontId="17" fillId="0" borderId="21" xfId="172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49" fontId="17" fillId="0" borderId="21" xfId="172" applyNumberFormat="1" applyFont="1" applyBorder="1" applyAlignment="1">
      <alignment horizontal="left" vertical="center" wrapText="1"/>
    </xf>
    <xf numFmtId="3" fontId="8" fillId="0" borderId="13" xfId="161" applyNumberFormat="1" applyFont="1" applyBorder="1" applyAlignment="1">
      <alignment vertical="center"/>
    </xf>
    <xf numFmtId="0" fontId="2" fillId="46" borderId="13" xfId="160" applyFont="1" applyFill="1" applyBorder="1" applyAlignment="1">
      <alignment horizontal="center" vertical="center"/>
    </xf>
    <xf numFmtId="0" fontId="2" fillId="46" borderId="13" xfId="160" applyFont="1" applyFill="1" applyBorder="1" applyAlignment="1">
      <alignment horizontal="center" vertical="center" wrapText="1"/>
    </xf>
    <xf numFmtId="0" fontId="3" fillId="0" borderId="0" xfId="160"/>
    <xf numFmtId="0" fontId="16" fillId="0" borderId="0" xfId="156"/>
    <xf numFmtId="0" fontId="3" fillId="0" borderId="13" xfId="160" applyBorder="1" applyAlignment="1">
      <alignment vertical="center" wrapText="1"/>
    </xf>
    <xf numFmtId="3" fontId="3" fillId="0" borderId="13" xfId="160" quotePrefix="1" applyNumberFormat="1" applyBorder="1" applyAlignment="1">
      <alignment horizontal="center" vertical="center" wrapText="1"/>
    </xf>
    <xf numFmtId="3" fontId="3" fillId="0" borderId="49" xfId="160" applyNumberFormat="1" applyBorder="1"/>
    <xf numFmtId="165" fontId="3" fillId="0" borderId="0" xfId="160" applyNumberFormat="1"/>
    <xf numFmtId="3" fontId="3" fillId="0" borderId="13" xfId="160" quotePrefix="1" applyNumberFormat="1" applyBorder="1" applyAlignment="1">
      <alignment vertical="center"/>
    </xf>
    <xf numFmtId="0" fontId="3" fillId="0" borderId="13" xfId="160" applyBorder="1" applyAlignment="1">
      <alignment wrapText="1"/>
    </xf>
    <xf numFmtId="3" fontId="3" fillId="0" borderId="13" xfId="160" quotePrefix="1" applyNumberFormat="1" applyBorder="1" applyAlignment="1">
      <alignment horizontal="right" vertical="center" wrapText="1"/>
    </xf>
    <xf numFmtId="0" fontId="2" fillId="46" borderId="13" xfId="160" applyFont="1" applyFill="1" applyBorder="1"/>
    <xf numFmtId="3" fontId="2" fillId="46" borderId="13" xfId="160" applyNumberFormat="1" applyFont="1" applyFill="1" applyBorder="1"/>
    <xf numFmtId="3" fontId="3" fillId="0" borderId="0" xfId="160" applyNumberFormat="1"/>
    <xf numFmtId="0" fontId="0" fillId="0" borderId="0" xfId="160" applyFont="1"/>
    <xf numFmtId="0" fontId="8" fillId="0" borderId="0" xfId="156" applyFont="1"/>
    <xf numFmtId="0" fontId="16" fillId="0" borderId="0" xfId="154"/>
    <xf numFmtId="0" fontId="16" fillId="46" borderId="13" xfId="141" applyFill="1" applyBorder="1"/>
    <xf numFmtId="0" fontId="83" fillId="46" borderId="13" xfId="141" applyFont="1" applyFill="1" applyBorder="1" applyAlignment="1">
      <alignment horizontal="center" vertical="center" wrapText="1"/>
    </xf>
    <xf numFmtId="0" fontId="83" fillId="46" borderId="13" xfId="141" applyFont="1" applyFill="1" applyBorder="1" applyAlignment="1">
      <alignment horizontal="center" vertical="center"/>
    </xf>
    <xf numFmtId="0" fontId="83" fillId="0" borderId="13" xfId="141" applyFont="1" applyBorder="1"/>
    <xf numFmtId="3" fontId="83" fillId="0" borderId="13" xfId="141" applyNumberFormat="1" applyFont="1" applyBorder="1"/>
    <xf numFmtId="3" fontId="83" fillId="0" borderId="0" xfId="141" applyNumberFormat="1" applyFont="1"/>
    <xf numFmtId="0" fontId="16" fillId="0" borderId="13" xfId="141" applyBorder="1"/>
    <xf numFmtId="3" fontId="16" fillId="0" borderId="13" xfId="141" applyNumberFormat="1" applyBorder="1"/>
    <xf numFmtId="0" fontId="83" fillId="0" borderId="13" xfId="141" applyFont="1" applyBorder="1" applyAlignment="1">
      <alignment vertical="center"/>
    </xf>
    <xf numFmtId="0" fontId="16" fillId="0" borderId="13" xfId="141" applyBorder="1" applyAlignment="1">
      <alignment vertical="center"/>
    </xf>
    <xf numFmtId="0" fontId="16" fillId="0" borderId="13" xfId="141" applyBorder="1" applyAlignment="1">
      <alignment vertical="center" wrapText="1"/>
    </xf>
    <xf numFmtId="0" fontId="82" fillId="0" borderId="0" xfId="154" applyFont="1"/>
    <xf numFmtId="0" fontId="83" fillId="46" borderId="13" xfId="141" applyFont="1" applyFill="1" applyBorder="1" applyAlignment="1">
      <alignment vertical="center"/>
    </xf>
    <xf numFmtId="3" fontId="83" fillId="46" borderId="13" xfId="141" applyNumberFormat="1" applyFont="1" applyFill="1" applyBorder="1" applyAlignment="1">
      <alignment vertical="center"/>
    </xf>
    <xf numFmtId="0" fontId="16" fillId="0" borderId="0" xfId="141"/>
    <xf numFmtId="3" fontId="16" fillId="0" borderId="13" xfId="141" applyNumberFormat="1" applyBorder="1" applyAlignment="1">
      <alignment horizontal="right" vertical="center"/>
    </xf>
    <xf numFmtId="0" fontId="16" fillId="0" borderId="13" xfId="141" applyBorder="1" applyAlignment="1">
      <alignment horizontal="right" vertical="center"/>
    </xf>
    <xf numFmtId="3" fontId="83" fillId="0" borderId="13" xfId="141" applyNumberFormat="1" applyFont="1" applyBorder="1" applyAlignment="1">
      <alignment horizontal="right" vertical="center"/>
    </xf>
    <xf numFmtId="14" fontId="16" fillId="0" borderId="13" xfId="141" applyNumberFormat="1" applyBorder="1" applyAlignment="1">
      <alignment horizontal="left" vertical="center" wrapText="1"/>
    </xf>
    <xf numFmtId="0" fontId="16" fillId="0" borderId="13" xfId="141" applyBorder="1" applyAlignment="1">
      <alignment horizontal="left" vertical="center"/>
    </xf>
    <xf numFmtId="0" fontId="16" fillId="0" borderId="13" xfId="141" applyBorder="1" applyAlignment="1">
      <alignment horizontal="left" vertical="center" wrapText="1"/>
    </xf>
    <xf numFmtId="0" fontId="10" fillId="46" borderId="14" xfId="130" applyFont="1" applyFill="1" applyBorder="1" applyAlignment="1">
      <alignment horizontal="center" vertical="center" wrapText="1"/>
    </xf>
    <xf numFmtId="0" fontId="11" fillId="0" borderId="13" xfId="130" applyFont="1" applyBorder="1" applyAlignment="1">
      <alignment vertical="center"/>
    </xf>
    <xf numFmtId="3" fontId="11" fillId="0" borderId="14" xfId="130" applyNumberFormat="1" applyFont="1" applyBorder="1" applyAlignment="1">
      <alignment vertical="center"/>
    </xf>
    <xf numFmtId="0" fontId="12" fillId="0" borderId="13" xfId="130" applyFont="1" applyBorder="1" applyAlignment="1">
      <alignment vertical="center"/>
    </xf>
    <xf numFmtId="3" fontId="10" fillId="0" borderId="13" xfId="130" applyNumberFormat="1" applyFont="1" applyBorder="1" applyAlignment="1">
      <alignment vertical="center"/>
    </xf>
    <xf numFmtId="0" fontId="17" fillId="0" borderId="13" xfId="152" applyFont="1" applyBorder="1" applyAlignment="1">
      <alignment horizontal="left" vertical="center" wrapText="1"/>
    </xf>
    <xf numFmtId="0" fontId="11" fillId="0" borderId="13" xfId="153" applyFont="1" applyBorder="1" applyAlignment="1">
      <alignment vertical="center" wrapText="1"/>
    </xf>
    <xf numFmtId="0" fontId="11" fillId="0" borderId="13" xfId="163" applyFont="1" applyBorder="1" applyAlignment="1">
      <alignment vertical="center"/>
    </xf>
    <xf numFmtId="3" fontId="11" fillId="46" borderId="14" xfId="130" applyNumberFormat="1" applyFont="1" applyFill="1" applyBorder="1" applyAlignment="1">
      <alignment vertical="center"/>
    </xf>
    <xf numFmtId="3" fontId="11" fillId="46" borderId="13" xfId="130" applyNumberFormat="1" applyFont="1" applyFill="1" applyBorder="1" applyAlignment="1">
      <alignment vertical="center"/>
    </xf>
    <xf numFmtId="3" fontId="8" fillId="0" borderId="13" xfId="130" applyNumberFormat="1" applyFont="1" applyBorder="1" applyAlignment="1">
      <alignment vertical="center"/>
    </xf>
    <xf numFmtId="3" fontId="77" fillId="46" borderId="13" xfId="130" applyNumberFormat="1" applyFont="1" applyFill="1" applyBorder="1" applyAlignment="1">
      <alignment vertical="center"/>
    </xf>
    <xf numFmtId="0" fontId="16" fillId="0" borderId="13" xfId="141" applyFill="1" applyBorder="1" applyAlignment="1">
      <alignment horizontal="left" vertical="center" wrapText="1"/>
    </xf>
    <xf numFmtId="49" fontId="9" fillId="0" borderId="21" xfId="145" applyNumberFormat="1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/>
    </xf>
    <xf numFmtId="3" fontId="3" fillId="0" borderId="13" xfId="160" applyNumberFormat="1" applyBorder="1" applyAlignment="1">
      <alignment vertical="center"/>
    </xf>
    <xf numFmtId="0" fontId="103" fillId="0" borderId="0" xfId="150" applyFont="1" applyAlignment="1">
      <alignment horizontal="center"/>
    </xf>
    <xf numFmtId="0" fontId="103" fillId="0" borderId="0" xfId="150" applyFont="1"/>
    <xf numFmtId="1" fontId="77" fillId="46" borderId="13" xfId="150" applyNumberFormat="1" applyFont="1" applyFill="1" applyBorder="1" applyAlignment="1">
      <alignment horizontal="center" vertical="center" wrapText="1"/>
    </xf>
    <xf numFmtId="1" fontId="77" fillId="46" borderId="21" xfId="150" applyNumberFormat="1" applyFont="1" applyFill="1" applyBorder="1" applyAlignment="1">
      <alignment horizontal="center" vertical="center" wrapText="1"/>
    </xf>
    <xf numFmtId="0" fontId="104" fillId="0" borderId="0" xfId="150" applyFont="1" applyAlignment="1">
      <alignment horizontal="center" vertical="center"/>
    </xf>
    <xf numFmtId="0" fontId="7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3" fontId="11" fillId="0" borderId="14" xfId="150" applyNumberFormat="1" applyFont="1" applyBorder="1" applyAlignment="1">
      <alignment horizontal="right" vertical="center"/>
    </xf>
    <xf numFmtId="1" fontId="77" fillId="0" borderId="13" xfId="150" applyNumberFormat="1" applyFont="1" applyBorder="1" applyAlignment="1">
      <alignment horizontal="center" vertical="center" wrapText="1"/>
    </xf>
    <xf numFmtId="1" fontId="77" fillId="0" borderId="21" xfId="150" applyNumberFormat="1" applyFont="1" applyBorder="1" applyAlignment="1">
      <alignment horizontal="center" vertical="center" wrapText="1"/>
    </xf>
    <xf numFmtId="0" fontId="11" fillId="0" borderId="18" xfId="150" applyFont="1" applyBorder="1" applyAlignment="1">
      <alignment horizontal="center" vertical="center" wrapText="1"/>
    </xf>
    <xf numFmtId="3" fontId="11" fillId="0" borderId="43" xfId="147" applyNumberFormat="1" applyFont="1" applyBorder="1" applyAlignment="1">
      <alignment horizontal="left" vertical="center" wrapText="1"/>
    </xf>
    <xf numFmtId="3" fontId="11" fillId="0" borderId="13" xfId="147" applyNumberFormat="1" applyFont="1" applyBorder="1" applyAlignment="1">
      <alignment horizontal="right" vertical="center" wrapText="1"/>
    </xf>
    <xf numFmtId="3" fontId="11" fillId="0" borderId="14" xfId="147" applyNumberFormat="1" applyFont="1" applyBorder="1" applyAlignment="1">
      <alignment horizontal="right" vertical="center" wrapText="1"/>
    </xf>
    <xf numFmtId="3" fontId="11" fillId="0" borderId="14" xfId="84" applyNumberFormat="1" applyFont="1" applyBorder="1" applyAlignment="1">
      <alignment horizontal="right" vertical="center"/>
    </xf>
    <xf numFmtId="3" fontId="11" fillId="0" borderId="18" xfId="150" applyNumberFormat="1" applyFont="1" applyBorder="1" applyAlignment="1">
      <alignment horizontal="right" vertical="center" wrapText="1"/>
    </xf>
    <xf numFmtId="3" fontId="11" fillId="0" borderId="37" xfId="150" applyNumberFormat="1" applyFont="1" applyBorder="1" applyAlignment="1">
      <alignment horizontal="right" vertical="center" wrapText="1"/>
    </xf>
    <xf numFmtId="0" fontId="11" fillId="0" borderId="13" xfId="150" applyFont="1" applyBorder="1" applyAlignment="1">
      <alignment horizontal="center" vertical="center" wrapText="1"/>
    </xf>
    <xf numFmtId="3" fontId="11" fillId="0" borderId="39" xfId="147" applyNumberFormat="1" applyFont="1" applyBorder="1" applyAlignment="1">
      <alignment horizontal="left" vertical="center" wrapText="1"/>
    </xf>
    <xf numFmtId="3" fontId="11" fillId="0" borderId="13" xfId="150" applyNumberFormat="1" applyFont="1" applyBorder="1" applyAlignment="1">
      <alignment horizontal="right" vertical="center" wrapText="1"/>
    </xf>
    <xf numFmtId="3" fontId="11" fillId="0" borderId="21" xfId="150" applyNumberFormat="1" applyFont="1" applyBorder="1" applyAlignment="1">
      <alignment horizontal="right" vertical="center" wrapText="1"/>
    </xf>
    <xf numFmtId="3" fontId="11" fillId="0" borderId="39" xfId="171" applyNumberFormat="1" applyFont="1" applyBorder="1" applyAlignment="1">
      <alignment vertical="center" wrapText="1"/>
    </xf>
    <xf numFmtId="3" fontId="11" fillId="0" borderId="13" xfId="171" applyNumberFormat="1" applyFont="1" applyBorder="1" applyAlignment="1">
      <alignment horizontal="right" vertical="center" wrapText="1"/>
    </xf>
    <xf numFmtId="3" fontId="11" fillId="0" borderId="14" xfId="84" applyNumberFormat="1" applyFont="1" applyFill="1" applyBorder="1" applyAlignment="1">
      <alignment horizontal="right" vertical="center"/>
    </xf>
    <xf numFmtId="3" fontId="11" fillId="49" borderId="39" xfId="139" applyNumberFormat="1" applyFont="1" applyFill="1" applyBorder="1" applyAlignment="1">
      <alignment vertical="top" wrapText="1"/>
    </xf>
    <xf numFmtId="3" fontId="11" fillId="49" borderId="13" xfId="139" applyNumberFormat="1" applyFont="1" applyFill="1" applyBorder="1" applyAlignment="1">
      <alignment horizontal="right" vertical="center" wrapText="1"/>
    </xf>
    <xf numFmtId="3" fontId="11" fillId="0" borderId="39" xfId="134" applyNumberFormat="1" applyFont="1" applyBorder="1" applyAlignment="1">
      <alignment vertical="top" wrapText="1"/>
    </xf>
    <xf numFmtId="3" fontId="11" fillId="0" borderId="13" xfId="134" applyNumberFormat="1" applyFont="1" applyBorder="1" applyAlignment="1">
      <alignment horizontal="right" vertical="center" wrapText="1"/>
    </xf>
    <xf numFmtId="3" fontId="11" fillId="0" borderId="39" xfId="134" applyNumberFormat="1" applyFont="1" applyBorder="1" applyAlignment="1">
      <alignment vertical="center" wrapText="1"/>
    </xf>
    <xf numFmtId="3" fontId="11" fillId="0" borderId="0" xfId="134" applyNumberFormat="1" applyFont="1" applyAlignment="1">
      <alignment vertical="center" wrapText="1"/>
    </xf>
    <xf numFmtId="0" fontId="11" fillId="0" borderId="13" xfId="132" applyFont="1" applyBorder="1" applyAlignment="1">
      <alignment vertical="center" wrapText="1"/>
    </xf>
    <xf numFmtId="167" fontId="11" fillId="0" borderId="13" xfId="84" applyNumberFormat="1" applyFont="1" applyFill="1" applyBorder="1" applyAlignment="1">
      <alignment horizontal="right" vertical="center" wrapText="1"/>
    </xf>
    <xf numFmtId="0" fontId="11" fillId="0" borderId="13" xfId="132" applyFont="1" applyBorder="1" applyAlignment="1">
      <alignment horizontal="right" vertical="center" wrapText="1"/>
    </xf>
    <xf numFmtId="3" fontId="11" fillId="0" borderId="13" xfId="132" applyNumberFormat="1" applyFont="1" applyBorder="1" applyAlignment="1">
      <alignment horizontal="right" vertical="center" wrapText="1"/>
    </xf>
    <xf numFmtId="3" fontId="11" fillId="0" borderId="13" xfId="134" applyNumberFormat="1" applyFont="1" applyBorder="1" applyAlignment="1">
      <alignment vertical="center" wrapText="1"/>
    </xf>
    <xf numFmtId="0" fontId="11" fillId="0" borderId="39" xfId="132" applyFont="1" applyBorder="1" applyAlignment="1">
      <alignment vertical="center" wrapText="1"/>
    </xf>
    <xf numFmtId="0" fontId="11" fillId="0" borderId="43" xfId="132" applyFont="1" applyBorder="1" applyAlignment="1">
      <alignment vertical="center" wrapText="1"/>
    </xf>
    <xf numFmtId="3" fontId="11" fillId="0" borderId="21" xfId="147" applyNumberFormat="1" applyFont="1" applyBorder="1" applyAlignment="1">
      <alignment horizontal="right" vertical="center" wrapText="1"/>
    </xf>
    <xf numFmtId="0" fontId="11" fillId="0" borderId="21" xfId="132" applyFont="1" applyBorder="1" applyAlignment="1">
      <alignment vertical="center" wrapText="1"/>
    </xf>
    <xf numFmtId="167" fontId="11" fillId="0" borderId="21" xfId="84" applyNumberFormat="1" applyFont="1" applyFill="1" applyBorder="1" applyAlignment="1">
      <alignment horizontal="right" vertical="center" wrapText="1"/>
    </xf>
    <xf numFmtId="0" fontId="11" fillId="0" borderId="21" xfId="132" applyFont="1" applyBorder="1" applyAlignment="1">
      <alignment horizontal="right" vertical="center" wrapText="1"/>
    </xf>
    <xf numFmtId="3" fontId="11" fillId="0" borderId="18" xfId="147" applyNumberFormat="1" applyFont="1" applyBorder="1" applyAlignment="1">
      <alignment horizontal="right" vertical="center" wrapText="1"/>
    </xf>
    <xf numFmtId="3" fontId="11" fillId="0" borderId="48" xfId="147" applyNumberFormat="1" applyFont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 vertical="center" wrapText="1"/>
    </xf>
    <xf numFmtId="167" fontId="11" fillId="0" borderId="21" xfId="84" applyNumberFormat="1" applyFont="1" applyBorder="1" applyAlignment="1">
      <alignment horizontal="righ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 wrapText="1"/>
    </xf>
    <xf numFmtId="3" fontId="85" fillId="0" borderId="13" xfId="150" applyNumberFormat="1" applyFont="1" applyBorder="1" applyAlignment="1">
      <alignment horizontal="right" vertical="center" wrapText="1"/>
    </xf>
    <xf numFmtId="3" fontId="85" fillId="0" borderId="21" xfId="150" applyNumberFormat="1" applyFont="1" applyBorder="1" applyAlignment="1">
      <alignment horizontal="right" vertical="center" wrapText="1"/>
    </xf>
    <xf numFmtId="0" fontId="105" fillId="0" borderId="0" xfId="150" applyFont="1"/>
    <xf numFmtId="0" fontId="10" fillId="46" borderId="13" xfId="150" applyFont="1" applyFill="1" applyBorder="1" applyAlignment="1">
      <alignment horizontal="left" vertical="center" wrapText="1"/>
    </xf>
    <xf numFmtId="3" fontId="10" fillId="46" borderId="13" xfId="150" applyNumberFormat="1" applyFont="1" applyFill="1" applyBorder="1" applyAlignment="1">
      <alignment horizontal="right" vertical="center" wrapText="1"/>
    </xf>
    <xf numFmtId="3" fontId="11" fillId="46" borderId="13" xfId="147" applyNumberFormat="1" applyFont="1" applyFill="1" applyBorder="1" applyAlignment="1">
      <alignment horizontal="right" vertical="center" wrapText="1"/>
    </xf>
    <xf numFmtId="0" fontId="19" fillId="0" borderId="13" xfId="150" applyFont="1" applyBorder="1" applyAlignment="1">
      <alignment horizontal="center" vertical="center" wrapText="1"/>
    </xf>
    <xf numFmtId="0" fontId="9" fillId="0" borderId="13" xfId="150" applyFont="1" applyBorder="1" applyAlignment="1">
      <alignment horizontal="left" vertical="center" wrapText="1"/>
    </xf>
    <xf numFmtId="0" fontId="10" fillId="0" borderId="13" xfId="150" applyFont="1" applyBorder="1" applyAlignment="1">
      <alignment horizontal="right" vertical="center" wrapText="1"/>
    </xf>
    <xf numFmtId="0" fontId="10" fillId="0" borderId="14" xfId="150" applyFont="1" applyBorder="1" applyAlignment="1">
      <alignment horizontal="right" vertical="center" wrapText="1"/>
    </xf>
    <xf numFmtId="3" fontId="10" fillId="0" borderId="13" xfId="150" applyNumberFormat="1" applyFont="1" applyBorder="1" applyAlignment="1">
      <alignment horizontal="right" vertical="center" wrapText="1"/>
    </xf>
    <xf numFmtId="3" fontId="10" fillId="0" borderId="21" xfId="150" applyNumberFormat="1" applyFont="1" applyBorder="1" applyAlignment="1">
      <alignment horizontal="right" vertical="center" wrapText="1"/>
    </xf>
    <xf numFmtId="3" fontId="77" fillId="0" borderId="13" xfId="150" applyNumberFormat="1" applyFont="1" applyBorder="1" applyAlignment="1">
      <alignment horizontal="right" vertical="center"/>
    </xf>
    <xf numFmtId="3" fontId="11" fillId="0" borderId="13" xfId="150" applyNumberFormat="1" applyFont="1" applyBorder="1" applyAlignment="1">
      <alignment horizontal="right" vertical="center"/>
    </xf>
    <xf numFmtId="3" fontId="11" fillId="0" borderId="21" xfId="150" applyNumberFormat="1" applyFont="1" applyBorder="1" applyAlignment="1">
      <alignment horizontal="right" vertical="center"/>
    </xf>
    <xf numFmtId="3" fontId="85" fillId="0" borderId="13" xfId="0" applyNumberFormat="1" applyFont="1" applyBorder="1" applyAlignment="1">
      <alignment horizontal="right" vertical="center"/>
    </xf>
    <xf numFmtId="3" fontId="85" fillId="0" borderId="13" xfId="147" applyNumberFormat="1" applyFont="1" applyBorder="1" applyAlignment="1">
      <alignment horizontal="right" vertical="center" wrapText="1"/>
    </xf>
    <xf numFmtId="3" fontId="85" fillId="0" borderId="21" xfId="147" applyNumberFormat="1" applyFont="1" applyBorder="1" applyAlignment="1">
      <alignment horizontal="right" vertical="center" wrapText="1"/>
    </xf>
    <xf numFmtId="3" fontId="85" fillId="0" borderId="14" xfId="147" applyNumberFormat="1" applyFont="1" applyBorder="1" applyAlignment="1">
      <alignment horizontal="right" vertical="center" wrapText="1"/>
    </xf>
    <xf numFmtId="3" fontId="85" fillId="0" borderId="14" xfId="0" applyNumberFormat="1" applyFont="1" applyBorder="1" applyAlignment="1">
      <alignment horizontal="right" vertical="center"/>
    </xf>
    <xf numFmtId="3" fontId="106" fillId="0" borderId="13" xfId="150" applyNumberFormat="1" applyFont="1" applyBorder="1" applyAlignment="1">
      <alignment horizontal="right" vertical="center"/>
    </xf>
    <xf numFmtId="3" fontId="85" fillId="0" borderId="13" xfId="150" applyNumberFormat="1" applyFont="1" applyBorder="1" applyAlignment="1">
      <alignment horizontal="right" vertical="center"/>
    </xf>
    <xf numFmtId="3" fontId="85" fillId="0" borderId="21" xfId="15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justify"/>
    </xf>
    <xf numFmtId="0" fontId="10" fillId="46" borderId="13" xfId="0" applyFont="1" applyFill="1" applyBorder="1" applyAlignment="1">
      <alignment horizontal="justify"/>
    </xf>
    <xf numFmtId="0" fontId="11" fillId="0" borderId="13" xfId="150" applyFont="1" applyBorder="1"/>
    <xf numFmtId="0" fontId="9" fillId="46" borderId="13" xfId="150" applyFont="1" applyFill="1" applyBorder="1"/>
    <xf numFmtId="3" fontId="9" fillId="46" borderId="13" xfId="150" applyNumberFormat="1" applyFont="1" applyFill="1" applyBorder="1"/>
    <xf numFmtId="0" fontId="107" fillId="0" borderId="0" xfId="150" applyFont="1"/>
    <xf numFmtId="0" fontId="10" fillId="0" borderId="13" xfId="0" applyFont="1" applyFill="1" applyBorder="1" applyAlignment="1">
      <alignment horizontal="justify" vertical="center"/>
    </xf>
    <xf numFmtId="0" fontId="11" fillId="0" borderId="13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justify"/>
    </xf>
    <xf numFmtId="0" fontId="103" fillId="0" borderId="0" xfId="150" applyFont="1" applyBorder="1"/>
    <xf numFmtId="0" fontId="104" fillId="0" borderId="0" xfId="150" applyFont="1" applyBorder="1" applyAlignment="1">
      <alignment horizontal="center" vertical="center"/>
    </xf>
    <xf numFmtId="0" fontId="103" fillId="0" borderId="0" xfId="150" applyFont="1" applyBorder="1" applyAlignment="1">
      <alignment horizontal="center" vertical="center"/>
    </xf>
    <xf numFmtId="0" fontId="105" fillId="0" borderId="0" xfId="150" applyFont="1" applyBorder="1" applyAlignment="1">
      <alignment horizontal="center"/>
    </xf>
    <xf numFmtId="0" fontId="105" fillId="0" borderId="0" xfId="150" applyFont="1" applyBorder="1"/>
    <xf numFmtId="0" fontId="0" fillId="0" borderId="21" xfId="0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11" fillId="0" borderId="13" xfId="0" applyFont="1" applyBorder="1" applyAlignment="1">
      <alignment horizontal="left" vertical="center" wrapText="1"/>
    </xf>
    <xf numFmtId="3" fontId="12" fillId="0" borderId="13" xfId="0" applyNumberFormat="1" applyFont="1" applyBorder="1" applyAlignment="1">
      <alignment vertical="center"/>
    </xf>
    <xf numFmtId="0" fontId="8" fillId="0" borderId="39" xfId="142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3" xfId="0" applyFont="1" applyBorder="1" applyAlignment="1">
      <alignment wrapText="1"/>
    </xf>
    <xf numFmtId="3" fontId="8" fillId="0" borderId="54" xfId="0" applyNumberFormat="1" applyFont="1" applyBorder="1" applyAlignment="1">
      <alignment vertical="center" wrapText="1"/>
    </xf>
    <xf numFmtId="0" fontId="8" fillId="0" borderId="39" xfId="0" applyFont="1" applyBorder="1" applyAlignment="1">
      <alignment vertical="top" wrapText="1"/>
    </xf>
    <xf numFmtId="0" fontId="8" fillId="0" borderId="39" xfId="167" applyFont="1" applyBorder="1" applyAlignment="1">
      <alignment vertical="center"/>
    </xf>
    <xf numFmtId="0" fontId="9" fillId="0" borderId="40" xfId="137" applyFont="1" applyBorder="1" applyAlignment="1">
      <alignment horizontal="center" vertical="top" wrapText="1"/>
    </xf>
    <xf numFmtId="0" fontId="8" fillId="0" borderId="41" xfId="0" applyFont="1" applyBorder="1" applyAlignment="1">
      <alignment vertical="center" wrapText="1"/>
    </xf>
    <xf numFmtId="0" fontId="8" fillId="0" borderId="39" xfId="144" applyFont="1" applyBorder="1" applyAlignment="1">
      <alignment vertical="center" wrapText="1"/>
    </xf>
    <xf numFmtId="49" fontId="8" fillId="0" borderId="39" xfId="0" applyNumberFormat="1" applyFont="1" applyBorder="1" applyAlignment="1">
      <alignment horizontal="left" vertical="center" wrapText="1"/>
    </xf>
    <xf numFmtId="3" fontId="9" fillId="0" borderId="39" xfId="0" applyNumberFormat="1" applyFont="1" applyBorder="1" applyAlignment="1">
      <alignment horizontal="center" vertical="center"/>
    </xf>
    <xf numFmtId="0" fontId="89" fillId="0" borderId="21" xfId="138" applyFont="1" applyBorder="1" applyAlignment="1">
      <alignment horizontal="center" vertical="center"/>
    </xf>
    <xf numFmtId="0" fontId="89" fillId="49" borderId="21" xfId="138" applyFont="1" applyFill="1" applyBorder="1" applyAlignment="1">
      <alignment horizontal="center" vertical="top" wrapText="1"/>
    </xf>
    <xf numFmtId="0" fontId="11" fillId="0" borderId="21" xfId="138" applyFont="1" applyBorder="1" applyAlignment="1">
      <alignment horizontal="center" vertical="center" wrapText="1"/>
    </xf>
    <xf numFmtId="0" fontId="11" fillId="49" borderId="21" xfId="138" applyFont="1" applyFill="1" applyBorder="1" applyAlignment="1">
      <alignment horizontal="center" vertical="center" wrapText="1"/>
    </xf>
    <xf numFmtId="0" fontId="89" fillId="49" borderId="21" xfId="138" applyFont="1" applyFill="1" applyBorder="1" applyAlignment="1">
      <alignment horizontal="center" vertical="center" wrapText="1"/>
    </xf>
    <xf numFmtId="0" fontId="11" fillId="49" borderId="21" xfId="138" applyFont="1" applyFill="1" applyBorder="1" applyAlignment="1">
      <alignment horizontal="center" vertical="top" wrapText="1"/>
    </xf>
    <xf numFmtId="0" fontId="88" fillId="49" borderId="21" xfId="138" applyFont="1" applyFill="1" applyBorder="1" applyAlignment="1">
      <alignment horizontal="center" vertical="top" wrapText="1"/>
    </xf>
    <xf numFmtId="3" fontId="12" fillId="0" borderId="39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8" fillId="0" borderId="21" xfId="145" applyNumberFormat="1" applyFont="1" applyBorder="1" applyAlignment="1">
      <alignment horizontal="left" vertical="center" wrapText="1"/>
    </xf>
    <xf numFmtId="3" fontId="8" fillId="0" borderId="21" xfId="166" applyNumberFormat="1" applyFont="1" applyBorder="1" applyAlignment="1">
      <alignment vertical="center" wrapText="1"/>
    </xf>
    <xf numFmtId="3" fontId="8" fillId="49" borderId="21" xfId="137" applyNumberFormat="1" applyFont="1" applyFill="1" applyBorder="1" applyAlignment="1">
      <alignment vertical="top" wrapText="1"/>
    </xf>
    <xf numFmtId="3" fontId="8" fillId="0" borderId="21" xfId="133" applyNumberFormat="1" applyFont="1" applyBorder="1" applyAlignment="1">
      <alignment vertical="top" wrapText="1"/>
    </xf>
    <xf numFmtId="3" fontId="8" fillId="0" borderId="21" xfId="134" applyNumberFormat="1" applyFont="1" applyBorder="1" applyAlignment="1">
      <alignment vertical="top" wrapText="1"/>
    </xf>
    <xf numFmtId="3" fontId="18" fillId="0" borderId="21" xfId="0" applyNumberFormat="1" applyFont="1" applyBorder="1" applyAlignment="1">
      <alignment horizontal="left" vertical="center" wrapText="1"/>
    </xf>
    <xf numFmtId="0" fontId="18" fillId="0" borderId="21" xfId="132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0" fillId="46" borderId="21" xfId="0" applyNumberFormat="1" applyFont="1" applyFill="1" applyBorder="1" applyAlignment="1">
      <alignment vertical="center" wrapText="1"/>
    </xf>
    <xf numFmtId="3" fontId="10" fillId="46" borderId="14" xfId="0" applyNumberFormat="1" applyFont="1" applyFill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3" fontId="8" fillId="0" borderId="13" xfId="173" applyNumberFormat="1" applyFont="1" applyBorder="1" applyAlignment="1">
      <alignment horizontal="right" vertical="center" wrapText="1"/>
    </xf>
    <xf numFmtId="3" fontId="8" fillId="0" borderId="13" xfId="173" applyNumberFormat="1" applyFont="1" applyBorder="1" applyAlignment="1">
      <alignment horizontal="right" vertical="center"/>
    </xf>
    <xf numFmtId="3" fontId="9" fillId="0" borderId="13" xfId="173" applyNumberFormat="1" applyFont="1" applyBorder="1" applyAlignment="1">
      <alignment horizontal="right" vertical="center" wrapText="1"/>
    </xf>
    <xf numFmtId="3" fontId="9" fillId="46" borderId="13" xfId="173" applyNumberFormat="1" applyFont="1" applyFill="1" applyBorder="1" applyAlignment="1">
      <alignment horizontal="right" vertical="center" wrapText="1"/>
    </xf>
    <xf numFmtId="0" fontId="95" fillId="0" borderId="13" xfId="84" applyNumberFormat="1" applyFont="1" applyBorder="1" applyAlignment="1">
      <alignment horizontal="center" vertical="center"/>
    </xf>
    <xf numFmtId="3" fontId="95" fillId="0" borderId="13" xfId="132" applyNumberFormat="1" applyFont="1" applyBorder="1" applyAlignment="1">
      <alignment horizontal="center" vertical="center" wrapText="1"/>
    </xf>
    <xf numFmtId="3" fontId="95" fillId="0" borderId="13" xfId="132" applyNumberFormat="1" applyFont="1" applyBorder="1" applyAlignment="1">
      <alignment horizontal="center" vertical="top" wrapText="1"/>
    </xf>
    <xf numFmtId="3" fontId="8" fillId="0" borderId="13" xfId="0" applyNumberFormat="1" applyFont="1" applyBorder="1" applyAlignment="1">
      <alignment horizontal="center" vertical="center" wrapText="1"/>
    </xf>
    <xf numFmtId="3" fontId="10" fillId="46" borderId="55" xfId="173" applyNumberFormat="1" applyFont="1" applyFill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left" wrapText="1"/>
    </xf>
    <xf numFmtId="49" fontId="39" fillId="0" borderId="21" xfId="172" applyNumberFormat="1" applyFont="1" applyBorder="1" applyAlignment="1">
      <alignment horizontal="left" vertical="center" wrapText="1"/>
    </xf>
    <xf numFmtId="49" fontId="8" fillId="0" borderId="56" xfId="159" applyNumberFormat="1" applyFont="1" applyBorder="1" applyAlignment="1">
      <alignment horizontal="left" vertical="center" wrapText="1"/>
    </xf>
    <xf numFmtId="0" fontId="94" fillId="0" borderId="21" xfId="151" applyFont="1" applyBorder="1" applyAlignment="1">
      <alignment wrapText="1"/>
    </xf>
    <xf numFmtId="0" fontId="94" fillId="0" borderId="21" xfId="151" applyFont="1" applyBorder="1" applyAlignment="1">
      <alignment horizontal="justify" wrapText="1"/>
    </xf>
    <xf numFmtId="0" fontId="94" fillId="0" borderId="21" xfId="151" applyFont="1" applyBorder="1" applyAlignment="1">
      <alignment horizontal="left" wrapText="1"/>
    </xf>
    <xf numFmtId="3" fontId="93" fillId="0" borderId="0" xfId="0" applyNumberFormat="1" applyFont="1" applyAlignment="1">
      <alignment vertical="center"/>
    </xf>
    <xf numFmtId="3" fontId="9" fillId="46" borderId="13" xfId="130" applyNumberFormat="1" applyFont="1" applyFill="1" applyBorder="1" applyAlignment="1">
      <alignment vertical="center" wrapText="1"/>
    </xf>
    <xf numFmtId="3" fontId="10" fillId="46" borderId="13" xfId="130" applyNumberFormat="1" applyFont="1" applyFill="1" applyBorder="1" applyAlignment="1">
      <alignment horizontal="right" vertical="center" wrapText="1"/>
    </xf>
    <xf numFmtId="0" fontId="8" fillId="0" borderId="13" xfId="162" applyFont="1" applyBorder="1" applyAlignment="1">
      <alignment horizontal="center" vertical="center" wrapText="1"/>
    </xf>
    <xf numFmtId="0" fontId="8" fillId="0" borderId="13" xfId="153" applyFont="1" applyBorder="1" applyAlignment="1">
      <alignment vertical="center"/>
    </xf>
    <xf numFmtId="165" fontId="8" fillId="0" borderId="13" xfId="157" applyNumberFormat="1" applyFont="1" applyBorder="1"/>
    <xf numFmtId="165" fontId="8" fillId="0" borderId="13" xfId="162" applyNumberFormat="1" applyFont="1" applyBorder="1"/>
    <xf numFmtId="0" fontId="8" fillId="0" borderId="13" xfId="160" applyFont="1" applyBorder="1" applyAlignment="1">
      <alignment horizontal="left" vertical="center" wrapText="1"/>
    </xf>
    <xf numFmtId="165" fontId="8" fillId="0" borderId="13" xfId="162" applyNumberFormat="1" applyFont="1" applyBorder="1" applyAlignment="1">
      <alignment vertical="center"/>
    </xf>
    <xf numFmtId="0" fontId="80" fillId="0" borderId="0" xfId="158" applyFont="1"/>
    <xf numFmtId="0" fontId="8" fillId="0" borderId="13" xfId="162" applyFont="1" applyBorder="1" applyAlignment="1">
      <alignment vertical="center"/>
    </xf>
    <xf numFmtId="166" fontId="8" fillId="0" borderId="13" xfId="162" applyNumberFormat="1" applyFont="1" applyBorder="1" applyAlignment="1">
      <alignment vertical="center"/>
    </xf>
    <xf numFmtId="0" fontId="81" fillId="0" borderId="0" xfId="158" applyFont="1"/>
    <xf numFmtId="0" fontId="8" fillId="0" borderId="13" xfId="153" applyFont="1" applyBorder="1" applyAlignment="1">
      <alignment vertical="center" wrapText="1"/>
    </xf>
    <xf numFmtId="0" fontId="8" fillId="0" borderId="13" xfId="162" applyFont="1" applyBorder="1"/>
    <xf numFmtId="0" fontId="8" fillId="0" borderId="13" xfId="162" applyFont="1" applyBorder="1" applyAlignment="1">
      <alignment vertical="center" wrapText="1"/>
    </xf>
    <xf numFmtId="166" fontId="8" fillId="0" borderId="13" xfId="162" applyNumberFormat="1" applyFont="1" applyBorder="1"/>
    <xf numFmtId="2" fontId="8" fillId="0" borderId="13" xfId="162" applyNumberFormat="1" applyFont="1" applyBorder="1"/>
    <xf numFmtId="3" fontId="10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11" fillId="0" borderId="18" xfId="0" applyNumberFormat="1" applyFont="1" applyBorder="1" applyAlignment="1">
      <alignment horizontal="right" vertical="center"/>
    </xf>
    <xf numFmtId="3" fontId="10" fillId="50" borderId="18" xfId="0" applyNumberFormat="1" applyFont="1" applyFill="1" applyBorder="1" applyAlignment="1">
      <alignment vertical="center"/>
    </xf>
    <xf numFmtId="3" fontId="10" fillId="50" borderId="13" xfId="0" applyNumberFormat="1" applyFont="1" applyFill="1" applyBorder="1" applyAlignment="1">
      <alignment vertical="center"/>
    </xf>
    <xf numFmtId="3" fontId="11" fillId="0" borderId="33" xfId="0" applyNumberFormat="1" applyFont="1" applyBorder="1" applyAlignment="1">
      <alignment vertical="center" wrapText="1"/>
    </xf>
    <xf numFmtId="3" fontId="10" fillId="50" borderId="14" xfId="0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vertical="center" wrapText="1"/>
    </xf>
    <xf numFmtId="0" fontId="6" fillId="50" borderId="13" xfId="140" applyFont="1" applyFill="1" applyBorder="1" applyAlignment="1">
      <alignment vertical="center"/>
    </xf>
    <xf numFmtId="0" fontId="10" fillId="51" borderId="57" xfId="140" applyFont="1" applyFill="1" applyBorder="1" applyAlignment="1">
      <alignment horizontal="center" vertical="top"/>
    </xf>
    <xf numFmtId="3" fontId="10" fillId="51" borderId="33" xfId="140" applyNumberFormat="1" applyFont="1" applyFill="1" applyBorder="1" applyAlignment="1">
      <alignment horizontal="center" vertical="center" wrapText="1"/>
    </xf>
    <xf numFmtId="3" fontId="10" fillId="51" borderId="13" xfId="140" applyNumberFormat="1" applyFont="1" applyFill="1" applyBorder="1" applyAlignment="1">
      <alignment horizontal="center" vertical="center" wrapText="1"/>
    </xf>
    <xf numFmtId="0" fontId="11" fillId="50" borderId="13" xfId="140" applyFont="1" applyFill="1" applyBorder="1" applyAlignment="1">
      <alignment vertical="center"/>
    </xf>
    <xf numFmtId="3" fontId="109" fillId="0" borderId="13" xfId="140" applyNumberFormat="1" applyFont="1" applyBorder="1" applyAlignment="1">
      <alignment horizontal="right" vertical="center"/>
    </xf>
    <xf numFmtId="3" fontId="9" fillId="51" borderId="13" xfId="140" applyNumberFormat="1" applyFont="1" applyFill="1" applyBorder="1" applyAlignment="1">
      <alignment horizontal="right" vertical="center"/>
    </xf>
    <xf numFmtId="3" fontId="9" fillId="0" borderId="19" xfId="173" applyNumberFormat="1" applyFont="1" applyBorder="1" applyAlignment="1">
      <alignment horizontal="center" vertical="center" wrapText="1"/>
    </xf>
    <xf numFmtId="3" fontId="9" fillId="0" borderId="19" xfId="173" applyNumberFormat="1" applyFont="1" applyBorder="1" applyAlignment="1">
      <alignment horizontal="left" vertical="center" wrapText="1"/>
    </xf>
    <xf numFmtId="3" fontId="8" fillId="0" borderId="13" xfId="173" applyNumberFormat="1" applyFont="1" applyBorder="1" applyAlignment="1">
      <alignment horizontal="center" vertical="center" wrapText="1"/>
    </xf>
    <xf numFmtId="3" fontId="8" fillId="0" borderId="13" xfId="173" applyNumberFormat="1" applyFont="1" applyBorder="1" applyAlignment="1">
      <alignment vertical="center" wrapText="1"/>
    </xf>
    <xf numFmtId="0" fontId="8" fillId="0" borderId="13" xfId="161" applyFont="1" applyBorder="1" applyAlignment="1">
      <alignment vertical="center"/>
    </xf>
    <xf numFmtId="0" fontId="96" fillId="0" borderId="21" xfId="161" applyFont="1" applyBorder="1" applyAlignment="1">
      <alignment vertical="center" wrapText="1"/>
    </xf>
    <xf numFmtId="0" fontId="11" fillId="0" borderId="13" xfId="161" applyFont="1" applyBorder="1" applyAlignment="1">
      <alignment vertical="center" wrapText="1"/>
    </xf>
    <xf numFmtId="3" fontId="6" fillId="0" borderId="0" xfId="0" applyNumberFormat="1" applyFont="1"/>
    <xf numFmtId="3" fontId="11" fillId="0" borderId="21" xfId="173" applyNumberFormat="1" applyFont="1" applyBorder="1" applyAlignment="1">
      <alignment vertical="center" wrapText="1"/>
    </xf>
    <xf numFmtId="3" fontId="11" fillId="0" borderId="58" xfId="173" applyNumberFormat="1" applyFont="1" applyBorder="1" applyAlignment="1">
      <alignment vertical="center"/>
    </xf>
    <xf numFmtId="0" fontId="87" fillId="0" borderId="28" xfId="148" applyFont="1" applyBorder="1" applyAlignment="1">
      <alignment horizontal="left" vertical="center" wrapText="1"/>
    </xf>
    <xf numFmtId="3" fontId="11" fillId="0" borderId="59" xfId="143" applyNumberFormat="1" applyFont="1" applyBorder="1" applyAlignment="1">
      <alignment vertical="center" wrapText="1"/>
    </xf>
    <xf numFmtId="3" fontId="11" fillId="0" borderId="21" xfId="143" applyNumberFormat="1" applyFont="1" applyBorder="1" applyAlignment="1">
      <alignment vertical="center" wrapText="1"/>
    </xf>
    <xf numFmtId="3" fontId="11" fillId="0" borderId="43" xfId="143" applyNumberFormat="1" applyFont="1" applyBorder="1" applyAlignment="1">
      <alignment vertical="center" wrapText="1"/>
    </xf>
    <xf numFmtId="3" fontId="110" fillId="0" borderId="14" xfId="0" applyNumberFormat="1" applyFont="1" applyBorder="1" applyAlignment="1">
      <alignment vertical="center"/>
    </xf>
    <xf numFmtId="3" fontId="110" fillId="0" borderId="32" xfId="0" applyNumberFormat="1" applyFont="1" applyBorder="1" applyAlignment="1">
      <alignment vertical="center"/>
    </xf>
    <xf numFmtId="0" fontId="111" fillId="0" borderId="21" xfId="0" applyFont="1" applyBorder="1" applyAlignment="1">
      <alignment wrapText="1"/>
    </xf>
    <xf numFmtId="0" fontId="111" fillId="0" borderId="37" xfId="0" applyFont="1" applyBorder="1" applyAlignment="1">
      <alignment wrapText="1"/>
    </xf>
    <xf numFmtId="3" fontId="112" fillId="0" borderId="14" xfId="0" applyNumberFormat="1" applyFont="1" applyBorder="1" applyAlignment="1">
      <alignment vertical="center"/>
    </xf>
    <xf numFmtId="0" fontId="111" fillId="0" borderId="21" xfId="0" applyFont="1" applyBorder="1" applyAlignment="1">
      <alignment vertical="center" wrapText="1"/>
    </xf>
    <xf numFmtId="49" fontId="17" fillId="52" borderId="21" xfId="172" applyNumberFormat="1" applyFont="1" applyFill="1" applyBorder="1" applyAlignment="1">
      <alignment horizontal="left" vertical="center" wrapText="1"/>
    </xf>
    <xf numFmtId="3" fontId="113" fillId="0" borderId="14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21" xfId="170" applyFont="1" applyBorder="1" applyAlignment="1">
      <alignment vertical="center"/>
    </xf>
    <xf numFmtId="0" fontId="8" fillId="0" borderId="21" xfId="137" applyFont="1" applyBorder="1" applyAlignment="1">
      <alignment vertical="top" wrapText="1"/>
    </xf>
    <xf numFmtId="0" fontId="8" fillId="0" borderId="39" xfId="170" applyFont="1" applyBorder="1" applyAlignment="1">
      <alignment vertical="center" wrapText="1"/>
    </xf>
    <xf numFmtId="0" fontId="8" fillId="0" borderId="39" xfId="138" applyFont="1" applyBorder="1" applyAlignment="1">
      <alignment vertical="top" wrapText="1"/>
    </xf>
    <xf numFmtId="3" fontId="6" fillId="0" borderId="0" xfId="140" applyNumberFormat="1" applyFont="1" applyAlignment="1">
      <alignment vertical="center"/>
    </xf>
    <xf numFmtId="0" fontId="10" fillId="51" borderId="13" xfId="140" applyFont="1" applyFill="1" applyBorder="1" applyAlignment="1">
      <alignment vertical="center"/>
    </xf>
    <xf numFmtId="168" fontId="6" fillId="0" borderId="0" xfId="140" applyNumberFormat="1" applyFont="1" applyAlignment="1">
      <alignment vertical="center"/>
    </xf>
    <xf numFmtId="167" fontId="95" fillId="0" borderId="13" xfId="84" applyNumberFormat="1" applyFont="1" applyFill="1" applyBorder="1" applyAlignment="1">
      <alignment horizontal="center" vertical="center" wrapText="1"/>
    </xf>
    <xf numFmtId="0" fontId="96" fillId="0" borderId="13" xfId="84" applyNumberFormat="1" applyFont="1" applyFill="1" applyBorder="1" applyAlignment="1">
      <alignment horizontal="center" vertical="center" wrapText="1"/>
    </xf>
    <xf numFmtId="0" fontId="95" fillId="0" borderId="13" xfId="84" applyNumberFormat="1" applyFont="1" applyFill="1" applyBorder="1" applyAlignment="1">
      <alignment horizontal="center" vertical="center" wrapText="1"/>
    </xf>
    <xf numFmtId="0" fontId="95" fillId="0" borderId="39" xfId="132" applyFont="1" applyBorder="1" applyAlignment="1">
      <alignment vertical="center" wrapText="1"/>
    </xf>
    <xf numFmtId="3" fontId="95" fillId="0" borderId="39" xfId="145" applyNumberFormat="1" applyFont="1" applyBorder="1" applyAlignment="1">
      <alignment horizontal="left" vertical="center" wrapText="1"/>
    </xf>
    <xf numFmtId="3" fontId="95" fillId="0" borderId="39" xfId="166" applyNumberFormat="1" applyFont="1" applyBorder="1" applyAlignment="1">
      <alignment vertical="center" wrapText="1"/>
    </xf>
    <xf numFmtId="3" fontId="95" fillId="49" borderId="39" xfId="137" applyNumberFormat="1" applyFont="1" applyFill="1" applyBorder="1" applyAlignment="1">
      <alignment vertical="top" wrapText="1"/>
    </xf>
    <xf numFmtId="3" fontId="95" fillId="0" borderId="39" xfId="133" applyNumberFormat="1" applyFont="1" applyBorder="1" applyAlignment="1">
      <alignment vertical="top" wrapText="1"/>
    </xf>
    <xf numFmtId="0" fontId="95" fillId="0" borderId="28" xfId="132" applyFont="1" applyBorder="1" applyAlignment="1">
      <alignment vertical="center" wrapText="1"/>
    </xf>
    <xf numFmtId="3" fontId="95" fillId="0" borderId="39" xfId="149" applyNumberFormat="1" applyFont="1" applyBorder="1" applyAlignment="1">
      <alignment horizontal="left" vertical="center" wrapText="1"/>
    </xf>
    <xf numFmtId="0" fontId="8" fillId="0" borderId="13" xfId="170" applyFont="1" applyBorder="1" applyAlignment="1">
      <alignment vertical="center"/>
    </xf>
    <xf numFmtId="0" fontId="8" fillId="0" borderId="33" xfId="161" applyFont="1" applyBorder="1" applyAlignment="1">
      <alignment horizontal="center" vertical="center"/>
    </xf>
    <xf numFmtId="3" fontId="8" fillId="0" borderId="13" xfId="161" applyNumberFormat="1" applyFont="1" applyBorder="1" applyAlignment="1">
      <alignment horizontal="center" vertical="center"/>
    </xf>
    <xf numFmtId="0" fontId="95" fillId="0" borderId="41" xfId="131" applyFont="1" applyBorder="1" applyAlignment="1">
      <alignment vertical="center"/>
    </xf>
    <xf numFmtId="0" fontId="95" fillId="0" borderId="41" xfId="131" applyFont="1" applyBorder="1" applyAlignment="1">
      <alignment vertical="center" wrapText="1"/>
    </xf>
    <xf numFmtId="0" fontId="8" fillId="0" borderId="21" xfId="161" applyFont="1" applyBorder="1" applyAlignment="1">
      <alignment vertical="center" wrapText="1"/>
    </xf>
    <xf numFmtId="3" fontId="8" fillId="0" borderId="13" xfId="161" applyNumberFormat="1" applyFont="1" applyBorder="1" applyAlignment="1">
      <alignment horizontal="center" vertical="center" wrapText="1"/>
    </xf>
    <xf numFmtId="0" fontId="95" fillId="0" borderId="41" xfId="129" applyFont="1" applyBorder="1" applyAlignment="1">
      <alignment vertical="center"/>
    </xf>
    <xf numFmtId="0" fontId="57" fillId="46" borderId="13" xfId="0" applyFont="1" applyFill="1" applyBorder="1" applyAlignment="1">
      <alignment horizontal="center" vertical="center" wrapText="1"/>
    </xf>
    <xf numFmtId="3" fontId="10" fillId="46" borderId="13" xfId="173" applyNumberFormat="1" applyFont="1" applyFill="1" applyBorder="1" applyAlignment="1">
      <alignment horizontal="center" vertical="center" wrapText="1"/>
    </xf>
    <xf numFmtId="0" fontId="10" fillId="46" borderId="13" xfId="130" applyFont="1" applyFill="1" applyBorder="1" applyAlignment="1">
      <alignment horizontal="center" vertical="center"/>
    </xf>
    <xf numFmtId="3" fontId="11" fillId="0" borderId="14" xfId="0" applyNumberFormat="1" applyFont="1" applyBorder="1" applyAlignment="1">
      <alignment horizontal="right" vertical="center" wrapText="1"/>
    </xf>
    <xf numFmtId="3" fontId="11" fillId="49" borderId="70" xfId="0" applyNumberFormat="1" applyFont="1" applyFill="1" applyBorder="1" applyAlignment="1">
      <alignment horizontal="center" vertical="center"/>
    </xf>
    <xf numFmtId="0" fontId="8" fillId="0" borderId="0" xfId="138" applyFont="1" applyAlignment="1">
      <alignment horizontal="center" vertical="center"/>
    </xf>
    <xf numFmtId="0" fontId="11" fillId="0" borderId="21" xfId="138" applyFont="1" applyBorder="1" applyAlignment="1">
      <alignment horizontal="center" vertical="top" wrapText="1"/>
    </xf>
    <xf numFmtId="3" fontId="8" fillId="0" borderId="37" xfId="0" applyNumberFormat="1" applyFont="1" applyBorder="1" applyAlignment="1">
      <alignment vertical="center" wrapText="1"/>
    </xf>
    <xf numFmtId="3" fontId="88" fillId="0" borderId="48" xfId="0" applyNumberFormat="1" applyFont="1" applyBorder="1" applyAlignment="1">
      <alignment vertical="center"/>
    </xf>
    <xf numFmtId="0" fontId="17" fillId="0" borderId="13" xfId="152" applyFont="1" applyBorder="1" applyAlignment="1">
      <alignment horizontal="center" vertical="center" wrapText="1"/>
    </xf>
    <xf numFmtId="3" fontId="17" fillId="0" borderId="13" xfId="152" applyNumberFormat="1" applyFont="1" applyBorder="1" applyAlignment="1">
      <alignment horizontal="right" vertical="center" wrapText="1"/>
    </xf>
    <xf numFmtId="3" fontId="11" fillId="0" borderId="13" xfId="153" applyNumberFormat="1" applyFont="1" applyBorder="1" applyAlignment="1">
      <alignment horizontal="right" vertical="center" wrapText="1"/>
    </xf>
    <xf numFmtId="3" fontId="11" fillId="0" borderId="13" xfId="163" applyNumberFormat="1" applyFont="1" applyBorder="1" applyAlignment="1">
      <alignment horizontal="right" vertical="center"/>
    </xf>
    <xf numFmtId="0" fontId="11" fillId="0" borderId="13" xfId="152" applyFont="1" applyBorder="1" applyAlignment="1">
      <alignment horizontal="center" vertical="center" wrapText="1"/>
    </xf>
    <xf numFmtId="0" fontId="11" fillId="0" borderId="13" xfId="152" applyFont="1" applyBorder="1" applyAlignment="1">
      <alignment horizontal="left" vertical="center" wrapText="1"/>
    </xf>
    <xf numFmtId="3" fontId="11" fillId="0" borderId="13" xfId="152" applyNumberFormat="1" applyFont="1" applyBorder="1" applyAlignment="1">
      <alignment horizontal="right" vertical="center" wrapText="1"/>
    </xf>
    <xf numFmtId="3" fontId="11" fillId="0" borderId="13" xfId="173" applyNumberFormat="1" applyFont="1" applyBorder="1" applyAlignment="1">
      <alignment horizontal="right" vertical="center" wrapText="1"/>
    </xf>
    <xf numFmtId="0" fontId="115" fillId="0" borderId="0" xfId="158" applyFont="1"/>
    <xf numFmtId="0" fontId="11" fillId="50" borderId="60" xfId="140" applyFont="1" applyFill="1" applyBorder="1" applyAlignment="1">
      <alignment horizontal="center" vertical="center"/>
    </xf>
    <xf numFmtId="0" fontId="11" fillId="50" borderId="42" xfId="140" applyFont="1" applyFill="1" applyBorder="1" applyAlignment="1">
      <alignment horizontal="center" vertical="center"/>
    </xf>
    <xf numFmtId="0" fontId="11" fillId="50" borderId="52" xfId="140" applyFont="1" applyFill="1" applyBorder="1" applyAlignment="1">
      <alignment horizontal="center" vertical="center"/>
    </xf>
    <xf numFmtId="0" fontId="11" fillId="50" borderId="48" xfId="140" applyFont="1" applyFill="1" applyBorder="1" applyAlignment="1">
      <alignment horizontal="center" vertical="center"/>
    </xf>
    <xf numFmtId="0" fontId="10" fillId="50" borderId="13" xfId="140" applyFont="1" applyFill="1" applyBorder="1" applyAlignment="1">
      <alignment horizontal="center" vertical="center" wrapText="1"/>
    </xf>
    <xf numFmtId="0" fontId="114" fillId="50" borderId="13" xfId="128" applyFont="1" applyFill="1" applyBorder="1" applyAlignment="1">
      <alignment horizontal="center" vertical="center" wrapText="1"/>
    </xf>
    <xf numFmtId="0" fontId="2" fillId="46" borderId="61" xfId="0" applyFont="1" applyFill="1" applyBorder="1" applyAlignment="1">
      <alignment horizontal="center" vertical="center"/>
    </xf>
    <xf numFmtId="0" fontId="2" fillId="46" borderId="62" xfId="0" applyFont="1" applyFill="1" applyBorder="1" applyAlignment="1">
      <alignment horizontal="center" vertical="center"/>
    </xf>
    <xf numFmtId="0" fontId="10" fillId="46" borderId="13" xfId="129" applyFont="1" applyFill="1" applyBorder="1" applyAlignment="1">
      <alignment horizontal="center" vertical="center"/>
    </xf>
    <xf numFmtId="0" fontId="10" fillId="46" borderId="21" xfId="129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/>
    </xf>
    <xf numFmtId="0" fontId="2" fillId="46" borderId="13" xfId="0" applyFont="1" applyFill="1" applyBorder="1" applyAlignment="1">
      <alignment horizontal="center" vertical="center"/>
    </xf>
    <xf numFmtId="0" fontId="9" fillId="46" borderId="13" xfId="129" applyFont="1" applyFill="1" applyBorder="1" applyAlignment="1">
      <alignment horizontal="center" vertical="center"/>
    </xf>
    <xf numFmtId="0" fontId="9" fillId="46" borderId="13" xfId="131" applyFont="1" applyFill="1" applyBorder="1" applyAlignment="1">
      <alignment horizontal="center"/>
    </xf>
    <xf numFmtId="0" fontId="5" fillId="0" borderId="0" xfId="131" applyAlignment="1">
      <alignment horizontal="center"/>
    </xf>
    <xf numFmtId="0" fontId="2" fillId="46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46" borderId="13" xfId="0" applyFont="1" applyFill="1" applyBorder="1" applyAlignment="1">
      <alignment horizontal="center"/>
    </xf>
    <xf numFmtId="3" fontId="10" fillId="46" borderId="13" xfId="173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0" fontId="10" fillId="46" borderId="33" xfId="0" applyFont="1" applyFill="1" applyBorder="1" applyAlignment="1">
      <alignment horizontal="center" vertical="center" wrapText="1"/>
    </xf>
    <xf numFmtId="0" fontId="10" fillId="46" borderId="18" xfId="0" applyFont="1" applyFill="1" applyBorder="1" applyAlignment="1">
      <alignment horizontal="center" vertical="center" wrapText="1"/>
    </xf>
    <xf numFmtId="3" fontId="13" fillId="46" borderId="63" xfId="173" applyNumberFormat="1" applyFont="1" applyFill="1" applyBorder="1" applyAlignment="1">
      <alignment horizontal="center" vertical="center" textRotation="90" wrapText="1"/>
    </xf>
    <xf numFmtId="3" fontId="13" fillId="46" borderId="64" xfId="173" applyNumberFormat="1" applyFont="1" applyFill="1" applyBorder="1" applyAlignment="1">
      <alignment horizontal="center" vertical="center" textRotation="90" wrapText="1"/>
    </xf>
    <xf numFmtId="3" fontId="13" fillId="46" borderId="33" xfId="173" applyNumberFormat="1" applyFont="1" applyFill="1" applyBorder="1" applyAlignment="1">
      <alignment horizontal="center" vertical="center" wrapText="1"/>
    </xf>
    <xf numFmtId="3" fontId="13" fillId="46" borderId="18" xfId="173" applyNumberFormat="1" applyFont="1" applyFill="1" applyBorder="1" applyAlignment="1">
      <alignment horizontal="center" vertical="center" wrapText="1"/>
    </xf>
    <xf numFmtId="3" fontId="13" fillId="46" borderId="61" xfId="173" applyNumberFormat="1" applyFont="1" applyFill="1" applyBorder="1" applyAlignment="1">
      <alignment horizontal="center" vertical="center" wrapText="1"/>
    </xf>
    <xf numFmtId="3" fontId="13" fillId="46" borderId="62" xfId="173" applyNumberFormat="1" applyFont="1" applyFill="1" applyBorder="1" applyAlignment="1">
      <alignment horizontal="center" vertical="center" wrapText="1"/>
    </xf>
    <xf numFmtId="3" fontId="13" fillId="46" borderId="61" xfId="173" applyNumberFormat="1" applyFont="1" applyFill="1" applyBorder="1" applyAlignment="1">
      <alignment horizontal="center" vertical="center"/>
    </xf>
    <xf numFmtId="3" fontId="13" fillId="46" borderId="62" xfId="173" applyNumberFormat="1" applyFont="1" applyFill="1" applyBorder="1" applyAlignment="1">
      <alignment horizontal="center" vertical="center"/>
    </xf>
    <xf numFmtId="0" fontId="10" fillId="46" borderId="32" xfId="0" applyFont="1" applyFill="1" applyBorder="1" applyAlignment="1">
      <alignment horizontal="center" vertical="center"/>
    </xf>
    <xf numFmtId="0" fontId="10" fillId="46" borderId="14" xfId="0" applyFont="1" applyFill="1" applyBorder="1" applyAlignment="1">
      <alignment horizontal="center" vertical="center"/>
    </xf>
    <xf numFmtId="0" fontId="10" fillId="46" borderId="21" xfId="0" applyFont="1" applyFill="1" applyBorder="1" applyAlignment="1">
      <alignment horizontal="center" vertical="center"/>
    </xf>
    <xf numFmtId="0" fontId="2" fillId="46" borderId="33" xfId="0" applyFont="1" applyFill="1" applyBorder="1" applyAlignment="1">
      <alignment horizontal="center" vertical="center" wrapText="1"/>
    </xf>
    <xf numFmtId="0" fontId="2" fillId="46" borderId="18" xfId="0" applyFont="1" applyFill="1" applyBorder="1" applyAlignment="1">
      <alignment horizontal="center" vertical="center" wrapText="1"/>
    </xf>
    <xf numFmtId="0" fontId="10" fillId="46" borderId="13" xfId="130" applyFont="1" applyFill="1" applyBorder="1" applyAlignment="1">
      <alignment horizontal="center" vertical="center"/>
    </xf>
    <xf numFmtId="0" fontId="57" fillId="46" borderId="33" xfId="0" applyFont="1" applyFill="1" applyBorder="1" applyAlignment="1">
      <alignment horizontal="center" vertical="center" wrapText="1"/>
    </xf>
    <xf numFmtId="0" fontId="57" fillId="46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0" fillId="9" borderId="65" xfId="155" applyNumberFormat="1" applyFont="1" applyFill="1" applyBorder="1" applyAlignment="1">
      <alignment horizontal="center" vertical="center" wrapText="1"/>
    </xf>
    <xf numFmtId="3" fontId="10" fillId="9" borderId="66" xfId="155" applyNumberFormat="1" applyFont="1" applyFill="1" applyBorder="1" applyAlignment="1">
      <alignment horizontal="center" vertical="center" wrapText="1"/>
    </xf>
    <xf numFmtId="3" fontId="10" fillId="9" borderId="67" xfId="155" applyNumberFormat="1" applyFont="1" applyFill="1" applyBorder="1" applyAlignment="1">
      <alignment horizontal="center" vertical="center" wrapText="1"/>
    </xf>
    <xf numFmtId="3" fontId="10" fillId="9" borderId="22" xfId="155" applyNumberFormat="1" applyFont="1" applyFill="1" applyBorder="1" applyAlignment="1">
      <alignment horizontal="center" wrapText="1"/>
    </xf>
    <xf numFmtId="3" fontId="78" fillId="46" borderId="13" xfId="155" applyNumberFormat="1" applyFont="1" applyFill="1" applyBorder="1" applyAlignment="1">
      <alignment horizontal="center" vertical="center" wrapText="1"/>
    </xf>
    <xf numFmtId="3" fontId="10" fillId="9" borderId="68" xfId="155" applyNumberFormat="1" applyFont="1" applyFill="1" applyBorder="1" applyAlignment="1">
      <alignment horizontal="center" vertical="center" wrapText="1"/>
    </xf>
    <xf numFmtId="3" fontId="10" fillId="9" borderId="69" xfId="155" applyNumberFormat="1" applyFont="1" applyFill="1" applyBorder="1" applyAlignment="1">
      <alignment horizontal="center" vertical="center" wrapText="1"/>
    </xf>
    <xf numFmtId="0" fontId="103" fillId="0" borderId="0" xfId="150" applyFont="1" applyBorder="1" applyAlignment="1">
      <alignment horizontal="center"/>
    </xf>
    <xf numFmtId="0" fontId="77" fillId="46" borderId="33" xfId="150" applyFont="1" applyFill="1" applyBorder="1" applyAlignment="1">
      <alignment horizontal="center" vertical="center" wrapText="1"/>
    </xf>
    <xf numFmtId="0" fontId="77" fillId="46" borderId="19" xfId="150" applyFont="1" applyFill="1" applyBorder="1" applyAlignment="1">
      <alignment horizontal="center" vertical="center" wrapText="1"/>
    </xf>
    <xf numFmtId="0" fontId="77" fillId="46" borderId="18" xfId="150" applyFont="1" applyFill="1" applyBorder="1" applyAlignment="1">
      <alignment horizontal="center" vertical="center" wrapText="1"/>
    </xf>
    <xf numFmtId="0" fontId="77" fillId="46" borderId="32" xfId="150" applyFont="1" applyFill="1" applyBorder="1" applyAlignment="1">
      <alignment horizontal="center" vertical="center" wrapText="1"/>
    </xf>
    <xf numFmtId="0" fontId="77" fillId="46" borderId="14" xfId="150" applyFont="1" applyFill="1" applyBorder="1" applyAlignment="1">
      <alignment horizontal="center" vertical="center" wrapText="1"/>
    </xf>
    <xf numFmtId="0" fontId="77" fillId="46" borderId="21" xfId="150" applyFont="1" applyFill="1" applyBorder="1" applyAlignment="1">
      <alignment horizontal="center" vertical="center"/>
    </xf>
    <xf numFmtId="0" fontId="77" fillId="46" borderId="32" xfId="150" applyFont="1" applyFill="1" applyBorder="1" applyAlignment="1">
      <alignment horizontal="center" vertical="center"/>
    </xf>
    <xf numFmtId="0" fontId="77" fillId="46" borderId="13" xfId="150" applyFont="1" applyFill="1" applyBorder="1" applyAlignment="1">
      <alignment horizontal="center" vertical="center" wrapText="1"/>
    </xf>
    <xf numFmtId="0" fontId="77" fillId="46" borderId="42" xfId="150" applyFont="1" applyFill="1" applyBorder="1" applyAlignment="1">
      <alignment horizontal="center" vertical="center" wrapText="1"/>
    </xf>
    <xf numFmtId="0" fontId="77" fillId="46" borderId="48" xfId="150" applyFont="1" applyFill="1" applyBorder="1" applyAlignment="1">
      <alignment horizontal="center" vertical="center" wrapText="1"/>
    </xf>
    <xf numFmtId="0" fontId="77" fillId="46" borderId="21" xfId="150" applyFont="1" applyFill="1" applyBorder="1" applyAlignment="1">
      <alignment horizontal="center" vertical="center" wrapText="1"/>
    </xf>
    <xf numFmtId="3" fontId="9" fillId="53" borderId="15" xfId="0" applyNumberFormat="1" applyFont="1" applyFill="1" applyBorder="1" applyAlignment="1">
      <alignment horizontal="center" vertical="center" wrapText="1"/>
    </xf>
    <xf numFmtId="3" fontId="9" fillId="53" borderId="20" xfId="0" applyNumberFormat="1" applyFont="1" applyFill="1" applyBorder="1" applyAlignment="1">
      <alignment horizontal="center" vertical="center" wrapText="1"/>
    </xf>
    <xf numFmtId="3" fontId="9" fillId="53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right" vertical="center" wrapText="1"/>
    </xf>
    <xf numFmtId="3" fontId="8" fillId="0" borderId="13" xfId="0" applyNumberFormat="1" applyFont="1" applyBorder="1" applyAlignment="1">
      <alignment horizontal="right" vertical="center"/>
    </xf>
    <xf numFmtId="3" fontId="9" fillId="53" borderId="13" xfId="0" applyNumberFormat="1" applyFont="1" applyFill="1" applyBorder="1" applyAlignment="1">
      <alignment vertical="center" wrapText="1"/>
    </xf>
    <xf numFmtId="0" fontId="11" fillId="0" borderId="21" xfId="0" applyFont="1" applyBorder="1"/>
    <xf numFmtId="0" fontId="11" fillId="0" borderId="13" xfId="0" applyFont="1" applyBorder="1"/>
    <xf numFmtId="3" fontId="8" fillId="53" borderId="13" xfId="0" applyNumberFormat="1" applyFont="1" applyFill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horizontal="left" vertical="center" wrapText="1"/>
    </xf>
    <xf numFmtId="3" fontId="8" fillId="53" borderId="33" xfId="0" applyNumberFormat="1" applyFont="1" applyFill="1" applyBorder="1" applyAlignment="1">
      <alignment horizontal="center" vertical="center" wrapText="1"/>
    </xf>
    <xf numFmtId="0" fontId="9" fillId="53" borderId="29" xfId="162" applyFont="1" applyFill="1" applyBorder="1" applyAlignment="1">
      <alignment horizontal="center" vertical="center" wrapText="1"/>
    </xf>
    <xf numFmtId="0" fontId="9" fillId="53" borderId="30" xfId="162" applyFont="1" applyFill="1" applyBorder="1" applyAlignment="1">
      <alignment horizontal="center" vertical="center" wrapText="1"/>
    </xf>
    <xf numFmtId="2" fontId="9" fillId="53" borderId="30" xfId="162" applyNumberFormat="1" applyFont="1" applyFill="1" applyBorder="1" applyAlignment="1">
      <alignment horizontal="center" vertical="center" wrapText="1"/>
    </xf>
    <xf numFmtId="3" fontId="9" fillId="53" borderId="30" xfId="162" applyNumberFormat="1" applyFont="1" applyFill="1" applyBorder="1" applyAlignment="1">
      <alignment horizontal="center" vertical="center" wrapText="1"/>
    </xf>
    <xf numFmtId="0" fontId="8" fillId="0" borderId="13" xfId="157" applyFont="1" applyBorder="1"/>
    <xf numFmtId="0" fontId="115" fillId="54" borderId="0" xfId="158" applyFont="1" applyFill="1"/>
    <xf numFmtId="0" fontId="80" fillId="54" borderId="0" xfId="158" applyFont="1" applyFill="1"/>
    <xf numFmtId="0" fontId="81" fillId="54" borderId="0" xfId="158" applyFont="1" applyFill="1"/>
    <xf numFmtId="0" fontId="116" fillId="0" borderId="0" xfId="158" applyFont="1"/>
    <xf numFmtId="0" fontId="117" fillId="0" borderId="0" xfId="158" applyFont="1"/>
    <xf numFmtId="165" fontId="117" fillId="0" borderId="0" xfId="158" applyNumberFormat="1" applyFont="1"/>
    <xf numFmtId="0" fontId="18" fillId="53" borderId="13" xfId="153" applyFont="1" applyFill="1" applyBorder="1" applyAlignment="1">
      <alignment horizontal="center" vertical="center"/>
    </xf>
    <xf numFmtId="0" fontId="9" fillId="53" borderId="13" xfId="153" applyFont="1" applyFill="1" applyBorder="1" applyAlignment="1">
      <alignment vertical="center"/>
    </xf>
    <xf numFmtId="165" fontId="9" fillId="53" borderId="13" xfId="162" applyNumberFormat="1" applyFont="1" applyFill="1" applyBorder="1"/>
    <xf numFmtId="0" fontId="18" fillId="53" borderId="13" xfId="157" applyFont="1" applyFill="1" applyBorder="1"/>
    <xf numFmtId="165" fontId="9" fillId="53" borderId="13" xfId="157" applyNumberFormat="1" applyFont="1" applyFill="1" applyBorder="1"/>
  </cellXfs>
  <cellStyles count="188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86" xr:uid="{00000000-0005-0000-0000-000055000000}"/>
    <cellStyle name="Figyelmeztetés" xfId="87" builtinId="11" customBuiltin="1"/>
    <cellStyle name="Figyelmeztetés 2" xfId="88" xr:uid="{00000000-0005-0000-0000-000057000000}"/>
    <cellStyle name="Good" xfId="89" xr:uid="{00000000-0005-0000-0000-000058000000}"/>
    <cellStyle name="Heading 1" xfId="90" xr:uid="{00000000-0005-0000-0000-000059000000}"/>
    <cellStyle name="Heading 2" xfId="91" xr:uid="{00000000-0005-0000-0000-00005A000000}"/>
    <cellStyle name="Heading 3" xfId="92" xr:uid="{00000000-0005-0000-0000-00005B000000}"/>
    <cellStyle name="Heading 4" xfId="93" xr:uid="{00000000-0005-0000-0000-00005C000000}"/>
    <cellStyle name="Hivatkozott cella" xfId="94" builtinId="24" customBuiltin="1"/>
    <cellStyle name="Hivatkozott cella 2" xfId="95" xr:uid="{00000000-0005-0000-0000-00005E000000}"/>
    <cellStyle name="Input" xfId="96" xr:uid="{00000000-0005-0000-0000-00005F000000}"/>
    <cellStyle name="Jegyzet" xfId="97" builtinId="10" customBuiltin="1"/>
    <cellStyle name="Jegyzet 2" xfId="98" xr:uid="{00000000-0005-0000-0000-000061000000}"/>
    <cellStyle name="Jelölőszín (1)" xfId="99" xr:uid="{00000000-0005-0000-0000-000062000000}"/>
    <cellStyle name="Jelölőszín (1) 2" xfId="100" xr:uid="{00000000-0005-0000-0000-000063000000}"/>
    <cellStyle name="Jelölőszín (2)" xfId="101" xr:uid="{00000000-0005-0000-0000-000064000000}"/>
    <cellStyle name="Jelölőszín (2) 2" xfId="102" xr:uid="{00000000-0005-0000-0000-000065000000}"/>
    <cellStyle name="Jelölőszín (3)" xfId="103" xr:uid="{00000000-0005-0000-0000-000066000000}"/>
    <cellStyle name="Jelölőszín (3) 2" xfId="104" xr:uid="{00000000-0005-0000-0000-000067000000}"/>
    <cellStyle name="Jelölőszín (4)" xfId="105" xr:uid="{00000000-0005-0000-0000-000068000000}"/>
    <cellStyle name="Jelölőszín (4) 2" xfId="106" xr:uid="{00000000-0005-0000-0000-000069000000}"/>
    <cellStyle name="Jelölőszín (5)" xfId="107" xr:uid="{00000000-0005-0000-0000-00006A000000}"/>
    <cellStyle name="Jelölőszín (5) 2" xfId="108" xr:uid="{00000000-0005-0000-0000-00006B000000}"/>
    <cellStyle name="Jelölőszín (6)" xfId="109" xr:uid="{00000000-0005-0000-0000-00006C000000}"/>
    <cellStyle name="Jelölőszín (6) 2" xfId="110" xr:uid="{00000000-0005-0000-0000-00006D000000}"/>
    <cellStyle name="Jelölőszín 1" xfId="111" xr:uid="{00000000-0005-0000-0000-00006E000000}"/>
    <cellStyle name="Jelölőszín 2" xfId="112" xr:uid="{00000000-0005-0000-0000-00006F000000}"/>
    <cellStyle name="Jelölőszín 3" xfId="113" xr:uid="{00000000-0005-0000-0000-000070000000}"/>
    <cellStyle name="Jelölőszín 4" xfId="114" xr:uid="{00000000-0005-0000-0000-000071000000}"/>
    <cellStyle name="Jelölőszín 5" xfId="115" xr:uid="{00000000-0005-0000-0000-000072000000}"/>
    <cellStyle name="Jelölőszín 6" xfId="116" xr:uid="{00000000-0005-0000-0000-000073000000}"/>
    <cellStyle name="Jó" xfId="117" builtinId="26" customBuiltin="1"/>
    <cellStyle name="Jó 2" xfId="118" xr:uid="{00000000-0005-0000-0000-000075000000}"/>
    <cellStyle name="Kimenet" xfId="119" builtinId="21" customBuiltin="1"/>
    <cellStyle name="Kimenet 2" xfId="120" xr:uid="{00000000-0005-0000-0000-000077000000}"/>
    <cellStyle name="Linked Cell" xfId="121" xr:uid="{00000000-0005-0000-0000-000078000000}"/>
    <cellStyle name="Magyarázó szöveg" xfId="122" builtinId="53" customBuiltin="1"/>
    <cellStyle name="Magyarázó szöveg 2" xfId="123" xr:uid="{00000000-0005-0000-0000-00007A000000}"/>
    <cellStyle name="Neutral" xfId="124" xr:uid="{00000000-0005-0000-0000-00007B000000}"/>
    <cellStyle name="Normál" xfId="0" builtinId="0"/>
    <cellStyle name="Normál 2" xfId="125" xr:uid="{00000000-0005-0000-0000-00007D000000}"/>
    <cellStyle name="Normál 3" xfId="126" xr:uid="{00000000-0005-0000-0000-00007E000000}"/>
    <cellStyle name="Normál 4" xfId="127" xr:uid="{00000000-0005-0000-0000-00007F000000}"/>
    <cellStyle name="Normál 5" xfId="128" xr:uid="{00000000-0005-0000-0000-000080000000}"/>
    <cellStyle name="Normál_   5    (2)" xfId="129" xr:uid="{00000000-0005-0000-0000-000081000000}"/>
    <cellStyle name="Normál_   5    (2)_KÖLTSÉGVETÉS 2015 intézmények " xfId="130" xr:uid="{00000000-0005-0000-0000-000082000000}"/>
    <cellStyle name="Normál_   5-a    (2)" xfId="131" xr:uid="{00000000-0005-0000-0000-000083000000}"/>
    <cellStyle name="Normál_   7   x" xfId="132" xr:uid="{00000000-0005-0000-0000-000084000000}"/>
    <cellStyle name="Normál_   7   x_2012. III.negyedévi ei. módosítás" xfId="133" xr:uid="{00000000-0005-0000-0000-000085000000}"/>
    <cellStyle name="Normál_   7   x_2012. III.negyedévi ei. módosítás_Intézményi táblák" xfId="134" xr:uid="{00000000-0005-0000-0000-000086000000}"/>
    <cellStyle name="Normál_   7   x_2014_ktsv tervezet_btcs_6.a" xfId="135" xr:uid="{00000000-0005-0000-0000-000087000000}"/>
    <cellStyle name="Normál_   7   x_7_6.a" xfId="136" xr:uid="{00000000-0005-0000-0000-000088000000}"/>
    <cellStyle name="Normál_   7   x_Másolat eredetije2014. műk-beru-felúj. 2" xfId="137" xr:uid="{00000000-0005-0000-0000-000089000000}"/>
    <cellStyle name="Normál_   7   x_Másolat eredetije2014. műk-beru-felúj._6.a" xfId="138" xr:uid="{00000000-0005-0000-0000-00008A000000}"/>
    <cellStyle name="Normál_   7   x_Másolat eredetije2014. műk-beru-felúj._Intézményi táblák" xfId="139" xr:uid="{00000000-0005-0000-0000-00008B000000}"/>
    <cellStyle name="Normál_  3   _2010.évi állami_állami  tám." xfId="140" xr:uid="{00000000-0005-0000-0000-00008C000000}"/>
    <cellStyle name="Normál_16.sz. melléklet" xfId="141" xr:uid="{00000000-0005-0000-0000-00008D000000}"/>
    <cellStyle name="Normál_2001.évi költségvkoncepció" xfId="142" xr:uid="{00000000-0005-0000-0000-00008E000000}"/>
    <cellStyle name="Normál_2012. évi beszámoló 5.a 6a" xfId="143" xr:uid="{00000000-0005-0000-0000-00008F000000}"/>
    <cellStyle name="Normál_2016.egyénikerigények" xfId="144" xr:uid="{00000000-0005-0000-0000-000090000000}"/>
    <cellStyle name="Normál_213_évi_költségvetés_MCS" xfId="145" xr:uid="{00000000-0005-0000-0000-000091000000}"/>
    <cellStyle name="Normál_213_évi_költségvetés_MCS_2016. IV.névi módosítás" xfId="146" xr:uid="{00000000-0005-0000-0000-000092000000}"/>
    <cellStyle name="Normál_213_évi_költségvetés_MCS_Intézményi táblák" xfId="147" xr:uid="{00000000-0005-0000-0000-000093000000}"/>
    <cellStyle name="Normál_3" xfId="148" xr:uid="{00000000-0005-0000-0000-000094000000}"/>
    <cellStyle name="Normál_eredeti biz.után" xfId="149" xr:uid="{00000000-0005-0000-0000-000095000000}"/>
    <cellStyle name="Normál_Európai Uniós pályázatok 2009.01.15. átdolgozott_KÖLTSÉGVETÉS 2015 intézmények _Intézményi táblák" xfId="150" xr:uid="{00000000-0005-0000-0000-000096000000}"/>
    <cellStyle name="Normál_Infrastukturális fejlesztések Zalaegerszegen" xfId="151" xr:uid="{00000000-0005-0000-0000-000097000000}"/>
    <cellStyle name="Normál_Intézmények 2014" xfId="152" xr:uid="{00000000-0005-0000-0000-000098000000}"/>
    <cellStyle name="Normál_INTKIA96" xfId="153" xr:uid="{00000000-0005-0000-0000-000099000000}"/>
    <cellStyle name="Normál_Kezességvállalás 2018" xfId="154" xr:uid="{00000000-0005-0000-0000-00009A000000}"/>
    <cellStyle name="Normál_KÖLTSÉGVETÉS_2013 (1)" xfId="155" xr:uid="{00000000-0005-0000-0000-00009B000000}"/>
    <cellStyle name="Normál_Közvetett támogatások 2016" xfId="156" xr:uid="{00000000-0005-0000-0000-00009C000000}"/>
    <cellStyle name="Normál_Létszám 2014. évi ktgvetés_2014.IV.negyedévi létszám ei. módosítás és 2015_Létszámok 2019. január 1" xfId="157" xr:uid="{00000000-0005-0000-0000-00009D000000}"/>
    <cellStyle name="Normál_Létszámelőirányzat  2018_Létszámok 2019. január 1" xfId="158" xr:uid="{00000000-0005-0000-0000-00009E000000}"/>
    <cellStyle name="Normál_Másolat eredetije2014. műk-beru-felúj." xfId="159" xr:uid="{00000000-0005-0000-0000-00009F000000}"/>
    <cellStyle name="Normál_Munka1" xfId="160" xr:uid="{00000000-0005-0000-0000-0000A0000000}"/>
    <cellStyle name="Normál_Munka2 (2)" xfId="161" xr:uid="{00000000-0005-0000-0000-0000A1000000}"/>
    <cellStyle name="Normál_Munka2 (2)_2014.IV.negyedévi létszám ei. módosítás és 2015" xfId="162" xr:uid="{00000000-0005-0000-0000-0000A2000000}"/>
    <cellStyle name="Normál_Munka2 (2)_KÖLTSÉGVETÉS 2015 intézmények " xfId="163" xr:uid="{00000000-0005-0000-0000-0000A3000000}"/>
    <cellStyle name="Normál_Munka2 (2)_KÖLTSÉGVETÉS_2015." xfId="164" xr:uid="{00000000-0005-0000-0000-0000A4000000}"/>
    <cellStyle name="Normál_Munka3 (2)" xfId="165" xr:uid="{00000000-0005-0000-0000-0000A5000000}"/>
    <cellStyle name="Normál_Munka3 (2)_Másolat eredetije2014. műk-beru-felúj." xfId="166" xr:uid="{00000000-0005-0000-0000-0000A6000000}"/>
    <cellStyle name="Normál_Munka3 (2)_Másolat eredetije2014. műk-beru-felúj._2016. IV.névi módosítás" xfId="167" xr:uid="{00000000-0005-0000-0000-0000A7000000}"/>
    <cellStyle name="Normál_Munka3 (2)_Másolat eredetije2014. műk-beru-felúj._2017.KÖLTSÉGVETÉS" xfId="168" xr:uid="{00000000-0005-0000-0000-0000A8000000}"/>
    <cellStyle name="Normál_Munka3 (2)_Másolat eredetije2014. műk-beru-felúj._2018. I.névi ei-módosítás" xfId="169" xr:uid="{00000000-0005-0000-0000-0000A9000000}"/>
    <cellStyle name="Normál_Munka3 (2)_Másolat eredetije2014. műk-beru-felúj._6.a" xfId="170" xr:uid="{00000000-0005-0000-0000-0000AA000000}"/>
    <cellStyle name="Normál_Munka3 (2)_Másolat eredetije2014. műk-beru-felúj._Intézményi táblák" xfId="171" xr:uid="{00000000-0005-0000-0000-0000AB000000}"/>
    <cellStyle name="Normál_Műszaki Osztály fejlesztés2016" xfId="172" xr:uid="{00000000-0005-0000-0000-0000AC000000}"/>
    <cellStyle name="Normál_ÖKIADELÖ" xfId="173" xr:uid="{00000000-0005-0000-0000-0000AD000000}"/>
    <cellStyle name="Normal_tanusitv" xfId="174" xr:uid="{00000000-0005-0000-0000-0000AE000000}"/>
    <cellStyle name="Note" xfId="175" xr:uid="{00000000-0005-0000-0000-0000AF000000}"/>
    <cellStyle name="Output" xfId="176" xr:uid="{00000000-0005-0000-0000-0000B0000000}"/>
    <cellStyle name="Összesen" xfId="177" builtinId="25" customBuiltin="1"/>
    <cellStyle name="Összesen 2" xfId="178" xr:uid="{00000000-0005-0000-0000-0000B2000000}"/>
    <cellStyle name="Rossz" xfId="179" builtinId="27" customBuiltin="1"/>
    <cellStyle name="Rossz 2" xfId="180" xr:uid="{00000000-0005-0000-0000-0000B4000000}"/>
    <cellStyle name="Semleges" xfId="181" builtinId="28" customBuiltin="1"/>
    <cellStyle name="Semleges 2" xfId="182" xr:uid="{00000000-0005-0000-0000-0000B6000000}"/>
    <cellStyle name="Számítás" xfId="183" builtinId="22" customBuiltin="1"/>
    <cellStyle name="Számítás 2" xfId="184" xr:uid="{00000000-0005-0000-0000-0000B8000000}"/>
    <cellStyle name="Title" xfId="185" xr:uid="{00000000-0005-0000-0000-0000B9000000}"/>
    <cellStyle name="Total" xfId="186" xr:uid="{00000000-0005-0000-0000-0000BA000000}"/>
    <cellStyle name="Warning Text" xfId="187" xr:uid="{00000000-0005-0000-0000-0000B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i\Desktop\2020.II.%20n&#233;vi%20e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0</v>
          </cell>
          <cell r="F8">
            <v>0</v>
          </cell>
          <cell r="G8">
            <v>0</v>
          </cell>
          <cell r="H8">
            <v>9906</v>
          </cell>
          <cell r="I8">
            <v>0</v>
          </cell>
          <cell r="J8">
            <v>0</v>
          </cell>
          <cell r="K8">
            <v>0</v>
          </cell>
          <cell r="N8">
            <v>0</v>
          </cell>
        </row>
        <row r="18">
          <cell r="E18">
            <v>41101</v>
          </cell>
          <cell r="F18">
            <v>0</v>
          </cell>
          <cell r="G18">
            <v>0</v>
          </cell>
          <cell r="H18">
            <v>5715</v>
          </cell>
          <cell r="I18">
            <v>0</v>
          </cell>
          <cell r="J18">
            <v>17922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5080</v>
          </cell>
        </row>
        <row r="36">
          <cell r="E36">
            <v>0</v>
          </cell>
          <cell r="F36">
            <v>2499</v>
          </cell>
          <cell r="G36">
            <v>0</v>
          </cell>
          <cell r="H36">
            <v>549860</v>
          </cell>
          <cell r="I36">
            <v>0</v>
          </cell>
          <cell r="J36">
            <v>0</v>
          </cell>
          <cell r="K36">
            <v>0</v>
          </cell>
          <cell r="N36">
            <v>0</v>
          </cell>
        </row>
        <row r="89">
          <cell r="E89">
            <v>125235</v>
          </cell>
          <cell r="F89">
            <v>9408095</v>
          </cell>
          <cell r="G89">
            <v>0</v>
          </cell>
          <cell r="H89">
            <v>4563836</v>
          </cell>
          <cell r="I89">
            <v>0</v>
          </cell>
          <cell r="J89">
            <v>0</v>
          </cell>
          <cell r="K89">
            <v>1000</v>
          </cell>
          <cell r="L89">
            <v>132076</v>
          </cell>
          <cell r="M89">
            <v>15263430</v>
          </cell>
          <cell r="N89">
            <v>8320000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431671</v>
          </cell>
          <cell r="I114">
            <v>78955</v>
          </cell>
          <cell r="J114">
            <v>0</v>
          </cell>
          <cell r="K114">
            <v>3000</v>
          </cell>
          <cell r="L114">
            <v>0</v>
          </cell>
          <cell r="M114">
            <v>120537</v>
          </cell>
          <cell r="N114">
            <v>117483</v>
          </cell>
        </row>
        <row r="123">
          <cell r="E123">
            <v>0</v>
          </cell>
          <cell r="F123">
            <v>0</v>
          </cell>
          <cell r="G123">
            <v>3000</v>
          </cell>
          <cell r="H123">
            <v>76148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58">
          <cell r="E158">
            <v>3479833</v>
          </cell>
          <cell r="F158">
            <v>18531</v>
          </cell>
          <cell r="G158">
            <v>5804000</v>
          </cell>
          <cell r="H158">
            <v>116413</v>
          </cell>
          <cell r="I158">
            <v>0</v>
          </cell>
          <cell r="J158">
            <v>0</v>
          </cell>
          <cell r="K158">
            <v>0</v>
          </cell>
          <cell r="L158">
            <v>17924</v>
          </cell>
          <cell r="M158">
            <v>1332263</v>
          </cell>
          <cell r="N158">
            <v>12451519</v>
          </cell>
        </row>
        <row r="169">
          <cell r="E169">
            <v>9460</v>
          </cell>
          <cell r="F169">
            <v>0</v>
          </cell>
          <cell r="G169">
            <v>0</v>
          </cell>
          <cell r="H169">
            <v>15748</v>
          </cell>
          <cell r="I169">
            <v>0</v>
          </cell>
          <cell r="J169">
            <v>50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1">
          <cell r="E171">
            <v>991879</v>
          </cell>
          <cell r="F171">
            <v>4760</v>
          </cell>
          <cell r="G171">
            <v>0</v>
          </cell>
          <cell r="H171">
            <v>1262294</v>
          </cell>
          <cell r="I171">
            <v>51</v>
          </cell>
          <cell r="J171">
            <v>250</v>
          </cell>
          <cell r="K171">
            <v>0</v>
          </cell>
          <cell r="M171">
            <v>571197</v>
          </cell>
        </row>
      </sheetData>
      <sheetData sheetId="6"/>
      <sheetData sheetId="7">
        <row r="45">
          <cell r="G45">
            <v>0</v>
          </cell>
          <cell r="H45">
            <v>4900</v>
          </cell>
          <cell r="I45">
            <v>30540</v>
          </cell>
          <cell r="J45">
            <v>90350</v>
          </cell>
          <cell r="K45">
            <v>3200</v>
          </cell>
          <cell r="L45">
            <v>0</v>
          </cell>
          <cell r="M45">
            <v>0</v>
          </cell>
          <cell r="N45">
            <v>25319</v>
          </cell>
          <cell r="O45">
            <v>0</v>
          </cell>
          <cell r="P45">
            <v>0</v>
          </cell>
        </row>
        <row r="220">
          <cell r="G220">
            <v>3891</v>
          </cell>
          <cell r="H220">
            <v>1415</v>
          </cell>
          <cell r="I220">
            <v>111092</v>
          </cell>
          <cell r="J220">
            <v>5100</v>
          </cell>
          <cell r="K220">
            <v>930103</v>
          </cell>
          <cell r="L220">
            <v>6251</v>
          </cell>
          <cell r="M220">
            <v>26835</v>
          </cell>
          <cell r="N220">
            <v>12120</v>
          </cell>
          <cell r="O220">
            <v>0</v>
          </cell>
          <cell r="P220">
            <v>0</v>
          </cell>
        </row>
        <row r="232">
          <cell r="G232">
            <v>0</v>
          </cell>
          <cell r="H232">
            <v>0</v>
          </cell>
          <cell r="I232">
            <v>9026</v>
          </cell>
          <cell r="J232">
            <v>0</v>
          </cell>
          <cell r="K232">
            <v>0</v>
          </cell>
          <cell r="L232">
            <v>17517</v>
          </cell>
          <cell r="M232">
            <v>0</v>
          </cell>
          <cell r="N232">
            <v>6901</v>
          </cell>
          <cell r="O232">
            <v>0</v>
          </cell>
          <cell r="P232">
            <v>0</v>
          </cell>
        </row>
        <row r="474">
          <cell r="G474">
            <v>7800</v>
          </cell>
          <cell r="H474">
            <v>1350</v>
          </cell>
          <cell r="I474">
            <v>1800922</v>
          </cell>
          <cell r="J474">
            <v>0</v>
          </cell>
          <cell r="K474">
            <v>434698</v>
          </cell>
          <cell r="L474">
            <v>164206</v>
          </cell>
          <cell r="M474">
            <v>42604</v>
          </cell>
          <cell r="N474">
            <v>1000</v>
          </cell>
          <cell r="O474">
            <v>0</v>
          </cell>
          <cell r="P474">
            <v>0</v>
          </cell>
        </row>
        <row r="667">
          <cell r="G667">
            <v>54181</v>
          </cell>
          <cell r="H667">
            <v>12770</v>
          </cell>
          <cell r="I667">
            <v>6299014</v>
          </cell>
          <cell r="J667">
            <v>0</v>
          </cell>
          <cell r="K667">
            <v>78838</v>
          </cell>
          <cell r="L667">
            <v>26743495</v>
          </cell>
          <cell r="M667">
            <v>5179522</v>
          </cell>
          <cell r="N667">
            <v>10185</v>
          </cell>
          <cell r="O667">
            <v>0</v>
          </cell>
          <cell r="P667">
            <v>0</v>
          </cell>
        </row>
        <row r="692">
          <cell r="G692">
            <v>0</v>
          </cell>
          <cell r="H692">
            <v>0</v>
          </cell>
          <cell r="I692">
            <v>50961</v>
          </cell>
          <cell r="J692">
            <v>0</v>
          </cell>
          <cell r="K692">
            <v>0</v>
          </cell>
          <cell r="L692">
            <v>128147</v>
          </cell>
          <cell r="M692">
            <v>1966</v>
          </cell>
          <cell r="N692">
            <v>30075</v>
          </cell>
          <cell r="O692">
            <v>0</v>
          </cell>
          <cell r="P692">
            <v>25000</v>
          </cell>
        </row>
        <row r="716">
          <cell r="G716">
            <v>149479</v>
          </cell>
          <cell r="H716">
            <v>27014</v>
          </cell>
          <cell r="I716">
            <v>82368</v>
          </cell>
          <cell r="J716">
            <v>0</v>
          </cell>
          <cell r="K716">
            <v>7000</v>
          </cell>
          <cell r="L716">
            <v>10065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</row>
        <row r="751">
          <cell r="G751">
            <v>0</v>
          </cell>
          <cell r="H751">
            <v>0</v>
          </cell>
          <cell r="I751">
            <v>372357</v>
          </cell>
          <cell r="J751">
            <v>0</v>
          </cell>
          <cell r="K751">
            <v>500736</v>
          </cell>
          <cell r="L751">
            <v>0</v>
          </cell>
          <cell r="M751">
            <v>0</v>
          </cell>
          <cell r="N751">
            <v>5500</v>
          </cell>
          <cell r="O751">
            <v>104052</v>
          </cell>
          <cell r="P751">
            <v>12088612</v>
          </cell>
        </row>
        <row r="808">
          <cell r="G808">
            <v>16813</v>
          </cell>
          <cell r="H808">
            <v>9699</v>
          </cell>
          <cell r="I808">
            <v>190813</v>
          </cell>
          <cell r="J808">
            <v>0</v>
          </cell>
          <cell r="K808">
            <v>316017</v>
          </cell>
          <cell r="L808">
            <v>15743</v>
          </cell>
          <cell r="M808">
            <v>0</v>
          </cell>
          <cell r="N808">
            <v>6350</v>
          </cell>
          <cell r="O808">
            <v>0</v>
          </cell>
          <cell r="P808">
            <v>0</v>
          </cell>
        </row>
        <row r="822"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1003140</v>
          </cell>
          <cell r="L822">
            <v>10420</v>
          </cell>
          <cell r="M822">
            <v>3766</v>
          </cell>
          <cell r="N822">
            <v>0</v>
          </cell>
          <cell r="O822">
            <v>0</v>
          </cell>
          <cell r="P822">
            <v>0</v>
          </cell>
        </row>
      </sheetData>
      <sheetData sheetId="8">
        <row r="21">
          <cell r="E21">
            <v>991879</v>
          </cell>
          <cell r="F21">
            <v>4760</v>
          </cell>
          <cell r="G21">
            <v>0</v>
          </cell>
          <cell r="H21">
            <v>1262294</v>
          </cell>
          <cell r="I21">
            <v>51</v>
          </cell>
          <cell r="J21">
            <v>250</v>
          </cell>
          <cell r="K21">
            <v>0</v>
          </cell>
          <cell r="L21">
            <v>571197</v>
          </cell>
        </row>
      </sheetData>
      <sheetData sheetId="9">
        <row r="21">
          <cell r="E21">
            <v>4322510</v>
          </cell>
          <cell r="F21">
            <v>817839</v>
          </cell>
          <cell r="G21">
            <v>2518077</v>
          </cell>
          <cell r="H21">
            <v>5188</v>
          </cell>
          <cell r="I21">
            <v>190227</v>
          </cell>
          <cell r="J21">
            <v>174716</v>
          </cell>
          <cell r="K21">
            <v>52926</v>
          </cell>
          <cell r="L21">
            <v>0</v>
          </cell>
        </row>
      </sheetData>
      <sheetData sheetId="10"/>
      <sheetData sheetId="11">
        <row r="15">
          <cell r="J15">
            <v>15922</v>
          </cell>
        </row>
        <row r="17">
          <cell r="J17">
            <v>2000</v>
          </cell>
        </row>
        <row r="29">
          <cell r="H29">
            <v>12992</v>
          </cell>
        </row>
        <row r="87">
          <cell r="F87">
            <v>75038</v>
          </cell>
        </row>
        <row r="88">
          <cell r="K88">
            <v>1000</v>
          </cell>
        </row>
        <row r="104">
          <cell r="I104">
            <v>2955</v>
          </cell>
        </row>
        <row r="113">
          <cell r="M113">
            <v>92</v>
          </cell>
          <cell r="N113">
            <v>-92</v>
          </cell>
        </row>
        <row r="117">
          <cell r="H117">
            <v>272</v>
          </cell>
        </row>
        <row r="122">
          <cell r="H122">
            <v>256</v>
          </cell>
        </row>
        <row r="129">
          <cell r="H129">
            <v>2762</v>
          </cell>
        </row>
        <row r="130">
          <cell r="E130">
            <v>128505</v>
          </cell>
        </row>
        <row r="131">
          <cell r="E131">
            <v>12270</v>
          </cell>
        </row>
        <row r="133">
          <cell r="M133">
            <v>92378</v>
          </cell>
        </row>
        <row r="135">
          <cell r="E135">
            <v>4496</v>
          </cell>
        </row>
        <row r="137">
          <cell r="E137">
            <v>57097</v>
          </cell>
        </row>
        <row r="138">
          <cell r="E138">
            <v>28316</v>
          </cell>
        </row>
        <row r="139">
          <cell r="E139">
            <v>83100</v>
          </cell>
        </row>
        <row r="140">
          <cell r="E140">
            <v>12679</v>
          </cell>
        </row>
        <row r="142">
          <cell r="E142">
            <v>-52762</v>
          </cell>
        </row>
        <row r="143">
          <cell r="F143">
            <v>16391</v>
          </cell>
        </row>
        <row r="144">
          <cell r="N144">
            <v>499</v>
          </cell>
        </row>
        <row r="147">
          <cell r="G147">
            <v>-280000</v>
          </cell>
        </row>
        <row r="148">
          <cell r="G148">
            <v>-8000</v>
          </cell>
        </row>
        <row r="157">
          <cell r="H157">
            <v>1607</v>
          </cell>
        </row>
        <row r="164">
          <cell r="E164">
            <v>210</v>
          </cell>
        </row>
      </sheetData>
      <sheetData sheetId="12">
        <row r="51">
          <cell r="G51">
            <v>-267</v>
          </cell>
          <cell r="H51">
            <v>-318</v>
          </cell>
          <cell r="I51">
            <v>435</v>
          </cell>
          <cell r="K51">
            <v>150</v>
          </cell>
        </row>
        <row r="52">
          <cell r="K52">
            <v>-10000</v>
          </cell>
        </row>
        <row r="54">
          <cell r="K54">
            <v>-8500</v>
          </cell>
        </row>
        <row r="58">
          <cell r="G58">
            <v>-4</v>
          </cell>
          <cell r="H58">
            <v>4</v>
          </cell>
        </row>
        <row r="70">
          <cell r="K70">
            <v>-700</v>
          </cell>
        </row>
        <row r="75">
          <cell r="K75">
            <v>-600</v>
          </cell>
        </row>
        <row r="76">
          <cell r="K76">
            <v>-400</v>
          </cell>
        </row>
        <row r="79">
          <cell r="K79">
            <v>-500</v>
          </cell>
        </row>
        <row r="82">
          <cell r="I82">
            <v>635</v>
          </cell>
          <cell r="K82">
            <v>-1000</v>
          </cell>
        </row>
        <row r="83">
          <cell r="K83">
            <v>-2500</v>
          </cell>
        </row>
        <row r="84">
          <cell r="K84">
            <v>-200</v>
          </cell>
        </row>
        <row r="85">
          <cell r="K85">
            <v>-250</v>
          </cell>
        </row>
        <row r="89">
          <cell r="K89">
            <v>-5250</v>
          </cell>
        </row>
        <row r="90">
          <cell r="K90">
            <v>-3725</v>
          </cell>
        </row>
        <row r="91">
          <cell r="K91">
            <v>-1000</v>
          </cell>
        </row>
        <row r="98">
          <cell r="K98">
            <v>288500</v>
          </cell>
        </row>
        <row r="99">
          <cell r="K99">
            <v>65000</v>
          </cell>
        </row>
        <row r="105">
          <cell r="I105">
            <v>-700</v>
          </cell>
        </row>
        <row r="112">
          <cell r="K112">
            <v>-2800</v>
          </cell>
        </row>
        <row r="114">
          <cell r="I114">
            <v>13731</v>
          </cell>
          <cell r="K114">
            <v>12519</v>
          </cell>
        </row>
        <row r="116">
          <cell r="K116">
            <v>-1250</v>
          </cell>
        </row>
        <row r="121">
          <cell r="K121">
            <v>-5000</v>
          </cell>
        </row>
        <row r="124">
          <cell r="K124">
            <v>-260</v>
          </cell>
        </row>
        <row r="128">
          <cell r="K128">
            <v>-6950</v>
          </cell>
        </row>
        <row r="129">
          <cell r="K129">
            <v>-3500</v>
          </cell>
        </row>
        <row r="130">
          <cell r="K130">
            <v>-900</v>
          </cell>
        </row>
        <row r="131">
          <cell r="K131">
            <v>-700</v>
          </cell>
        </row>
        <row r="132">
          <cell r="K132">
            <v>-495</v>
          </cell>
        </row>
        <row r="133">
          <cell r="K133">
            <v>-200</v>
          </cell>
        </row>
        <row r="134">
          <cell r="K134">
            <v>-200</v>
          </cell>
        </row>
        <row r="135">
          <cell r="K135">
            <v>-112</v>
          </cell>
        </row>
        <row r="136">
          <cell r="G136">
            <v>-17</v>
          </cell>
          <cell r="H136">
            <v>17</v>
          </cell>
        </row>
        <row r="138">
          <cell r="K138">
            <v>-3500</v>
          </cell>
        </row>
        <row r="139">
          <cell r="K139">
            <v>-225</v>
          </cell>
        </row>
        <row r="140">
          <cell r="K140">
            <v>-3000</v>
          </cell>
        </row>
        <row r="141">
          <cell r="K141">
            <v>-12000</v>
          </cell>
        </row>
        <row r="142">
          <cell r="K142">
            <v>-1125</v>
          </cell>
        </row>
        <row r="143">
          <cell r="K143">
            <v>-1350</v>
          </cell>
        </row>
        <row r="144">
          <cell r="K144">
            <v>-1800</v>
          </cell>
        </row>
        <row r="145">
          <cell r="K145">
            <v>-4500</v>
          </cell>
        </row>
        <row r="146">
          <cell r="K146">
            <v>-4000</v>
          </cell>
        </row>
        <row r="148">
          <cell r="K148">
            <v>-675</v>
          </cell>
        </row>
        <row r="149">
          <cell r="K149">
            <v>-225</v>
          </cell>
        </row>
        <row r="150">
          <cell r="K150">
            <v>-500</v>
          </cell>
        </row>
        <row r="151">
          <cell r="K151">
            <v>-1125</v>
          </cell>
        </row>
        <row r="152">
          <cell r="K152">
            <v>-1375</v>
          </cell>
        </row>
        <row r="154">
          <cell r="K154">
            <v>-450</v>
          </cell>
        </row>
        <row r="156">
          <cell r="K156">
            <v>-2000</v>
          </cell>
        </row>
        <row r="157">
          <cell r="K157">
            <v>-1500</v>
          </cell>
        </row>
        <row r="158">
          <cell r="K158">
            <v>-1000</v>
          </cell>
        </row>
        <row r="159">
          <cell r="I159">
            <v>-470</v>
          </cell>
          <cell r="L159">
            <v>470</v>
          </cell>
        </row>
        <row r="161">
          <cell r="K161">
            <v>-50</v>
          </cell>
        </row>
        <row r="162">
          <cell r="K162">
            <v>-50</v>
          </cell>
        </row>
        <row r="163">
          <cell r="K163">
            <v>-50</v>
          </cell>
        </row>
        <row r="164">
          <cell r="K164">
            <v>-50</v>
          </cell>
        </row>
        <row r="165">
          <cell r="K165">
            <v>100</v>
          </cell>
        </row>
        <row r="166">
          <cell r="K166">
            <v>-4000</v>
          </cell>
        </row>
        <row r="175">
          <cell r="N175">
            <v>-9000</v>
          </cell>
        </row>
        <row r="178">
          <cell r="L178">
            <v>-1300</v>
          </cell>
        </row>
        <row r="179">
          <cell r="L179">
            <v>-1779</v>
          </cell>
        </row>
        <row r="181">
          <cell r="N181">
            <v>270</v>
          </cell>
        </row>
        <row r="182">
          <cell r="L182">
            <v>-1600</v>
          </cell>
          <cell r="N182">
            <v>1600</v>
          </cell>
        </row>
        <row r="183">
          <cell r="M183">
            <v>-387</v>
          </cell>
        </row>
        <row r="184">
          <cell r="I184">
            <v>2477</v>
          </cell>
          <cell r="L184">
            <v>-2000</v>
          </cell>
        </row>
        <row r="185">
          <cell r="M185">
            <v>387</v>
          </cell>
        </row>
        <row r="188">
          <cell r="N188">
            <v>-300</v>
          </cell>
        </row>
        <row r="189">
          <cell r="N189">
            <v>-500</v>
          </cell>
        </row>
        <row r="191">
          <cell r="N191">
            <v>-400</v>
          </cell>
        </row>
        <row r="192">
          <cell r="L192">
            <v>-900</v>
          </cell>
        </row>
        <row r="193">
          <cell r="N193">
            <v>-1500</v>
          </cell>
        </row>
        <row r="194">
          <cell r="M194">
            <v>-2500</v>
          </cell>
        </row>
        <row r="199">
          <cell r="L199">
            <v>-500</v>
          </cell>
        </row>
        <row r="205">
          <cell r="I205">
            <v>3800</v>
          </cell>
          <cell r="M205">
            <v>-3800</v>
          </cell>
        </row>
        <row r="211">
          <cell r="L211">
            <v>-1000</v>
          </cell>
        </row>
        <row r="213">
          <cell r="N213">
            <v>-5500</v>
          </cell>
        </row>
        <row r="219">
          <cell r="L219">
            <v>-1000</v>
          </cell>
        </row>
        <row r="231">
          <cell r="N231">
            <v>55</v>
          </cell>
        </row>
        <row r="235">
          <cell r="I235">
            <v>-803</v>
          </cell>
          <cell r="L235">
            <v>920</v>
          </cell>
        </row>
        <row r="238">
          <cell r="I238">
            <v>2856</v>
          </cell>
        </row>
        <row r="241">
          <cell r="I241">
            <v>10461</v>
          </cell>
          <cell r="L241">
            <v>675</v>
          </cell>
        </row>
        <row r="242">
          <cell r="I242">
            <v>200</v>
          </cell>
        </row>
        <row r="243">
          <cell r="I243">
            <v>-300</v>
          </cell>
        </row>
        <row r="246">
          <cell r="I246">
            <v>-500</v>
          </cell>
        </row>
        <row r="247">
          <cell r="I247">
            <v>-477</v>
          </cell>
        </row>
        <row r="249">
          <cell r="I249">
            <v>-400</v>
          </cell>
        </row>
        <row r="252">
          <cell r="I252">
            <v>-1000</v>
          </cell>
        </row>
        <row r="253">
          <cell r="I253">
            <v>-500</v>
          </cell>
        </row>
        <row r="257">
          <cell r="I257">
            <v>-1600</v>
          </cell>
        </row>
        <row r="258">
          <cell r="I258">
            <v>-2000</v>
          </cell>
        </row>
        <row r="259">
          <cell r="I259">
            <v>-1000</v>
          </cell>
        </row>
        <row r="260">
          <cell r="I260">
            <v>-1000</v>
          </cell>
        </row>
        <row r="262">
          <cell r="I262">
            <v>-601</v>
          </cell>
        </row>
        <row r="264">
          <cell r="I264">
            <v>-5000</v>
          </cell>
        </row>
        <row r="265">
          <cell r="I265">
            <v>-3000</v>
          </cell>
        </row>
        <row r="266">
          <cell r="I266">
            <v>-8000</v>
          </cell>
        </row>
        <row r="267">
          <cell r="I267">
            <v>-5000</v>
          </cell>
        </row>
        <row r="269">
          <cell r="I269">
            <v>-500</v>
          </cell>
        </row>
        <row r="270">
          <cell r="I270">
            <v>-2000</v>
          </cell>
        </row>
        <row r="271">
          <cell r="I271">
            <v>-3000</v>
          </cell>
        </row>
        <row r="273">
          <cell r="I273">
            <v>-1000</v>
          </cell>
        </row>
        <row r="276">
          <cell r="I276">
            <v>-1000</v>
          </cell>
        </row>
        <row r="277">
          <cell r="I277">
            <v>-500</v>
          </cell>
        </row>
        <row r="283">
          <cell r="I283">
            <v>-3500</v>
          </cell>
        </row>
        <row r="285">
          <cell r="I285">
            <v>-200</v>
          </cell>
        </row>
        <row r="289">
          <cell r="I289">
            <v>-3500</v>
          </cell>
        </row>
        <row r="292">
          <cell r="I292">
            <v>486</v>
          </cell>
        </row>
        <row r="297">
          <cell r="I297">
            <v>-1000</v>
          </cell>
        </row>
        <row r="298">
          <cell r="I298">
            <v>-1000</v>
          </cell>
        </row>
        <row r="299">
          <cell r="I299">
            <v>-2000</v>
          </cell>
        </row>
        <row r="304">
          <cell r="I304">
            <v>-791</v>
          </cell>
        </row>
        <row r="306">
          <cell r="I306">
            <v>90</v>
          </cell>
        </row>
        <row r="307">
          <cell r="I307">
            <v>-850</v>
          </cell>
          <cell r="K307">
            <v>-150</v>
          </cell>
        </row>
        <row r="309">
          <cell r="I309">
            <v>-800</v>
          </cell>
        </row>
        <row r="316">
          <cell r="I316">
            <v>300</v>
          </cell>
        </row>
        <row r="321">
          <cell r="K321">
            <v>-12000</v>
          </cell>
        </row>
        <row r="328">
          <cell r="I328">
            <v>-1000</v>
          </cell>
        </row>
        <row r="338">
          <cell r="I338">
            <v>-500</v>
          </cell>
        </row>
        <row r="350">
          <cell r="M350">
            <v>-2000</v>
          </cell>
        </row>
        <row r="351">
          <cell r="L351">
            <v>-3000</v>
          </cell>
        </row>
        <row r="352">
          <cell r="L352">
            <v>-3000</v>
          </cell>
        </row>
        <row r="353">
          <cell r="L353">
            <v>-2000</v>
          </cell>
        </row>
        <row r="357">
          <cell r="L357">
            <v>-486</v>
          </cell>
        </row>
        <row r="359">
          <cell r="M359">
            <v>-3334</v>
          </cell>
        </row>
        <row r="365">
          <cell r="M365">
            <v>599</v>
          </cell>
        </row>
        <row r="367">
          <cell r="L367">
            <v>-500</v>
          </cell>
        </row>
        <row r="368">
          <cell r="L368">
            <v>-1000</v>
          </cell>
        </row>
        <row r="369">
          <cell r="L369">
            <v>-1500</v>
          </cell>
        </row>
        <row r="370">
          <cell r="L370">
            <v>-1000</v>
          </cell>
        </row>
        <row r="371">
          <cell r="L371">
            <v>186</v>
          </cell>
        </row>
        <row r="372">
          <cell r="L372">
            <v>-500</v>
          </cell>
        </row>
        <row r="374">
          <cell r="L374">
            <v>-186</v>
          </cell>
        </row>
        <row r="376">
          <cell r="L376">
            <v>-1034</v>
          </cell>
        </row>
        <row r="377">
          <cell r="L377">
            <v>-425</v>
          </cell>
        </row>
        <row r="380">
          <cell r="M380">
            <v>-500</v>
          </cell>
        </row>
        <row r="381">
          <cell r="M381">
            <v>-1800</v>
          </cell>
        </row>
        <row r="382">
          <cell r="M382">
            <v>-1500</v>
          </cell>
        </row>
        <row r="383">
          <cell r="L383">
            <v>-2500</v>
          </cell>
        </row>
        <row r="384">
          <cell r="M384">
            <v>-3000</v>
          </cell>
        </row>
        <row r="385">
          <cell r="L385">
            <v>-3000</v>
          </cell>
        </row>
        <row r="386">
          <cell r="M386">
            <v>-5500</v>
          </cell>
        </row>
        <row r="388">
          <cell r="M388">
            <v>-3000</v>
          </cell>
        </row>
        <row r="390">
          <cell r="M390">
            <v>-6634</v>
          </cell>
        </row>
        <row r="391">
          <cell r="M391">
            <v>-2000</v>
          </cell>
        </row>
        <row r="392">
          <cell r="M392">
            <v>-2468</v>
          </cell>
        </row>
        <row r="393">
          <cell r="M393">
            <v>-3500</v>
          </cell>
        </row>
        <row r="394">
          <cell r="M394">
            <v>-2300</v>
          </cell>
        </row>
        <row r="395">
          <cell r="M395">
            <v>-3000</v>
          </cell>
        </row>
        <row r="396">
          <cell r="L396">
            <v>-5000</v>
          </cell>
        </row>
        <row r="397">
          <cell r="L397">
            <v>-5000</v>
          </cell>
        </row>
        <row r="398">
          <cell r="L398">
            <v>-2000</v>
          </cell>
        </row>
        <row r="399">
          <cell r="M399">
            <v>-800</v>
          </cell>
        </row>
        <row r="400">
          <cell r="M400">
            <v>-1500</v>
          </cell>
        </row>
        <row r="401">
          <cell r="L401">
            <v>-1000</v>
          </cell>
        </row>
        <row r="402">
          <cell r="M402">
            <v>-1000</v>
          </cell>
        </row>
        <row r="404">
          <cell r="M404">
            <v>-300</v>
          </cell>
        </row>
        <row r="405">
          <cell r="M405">
            <v>-3000</v>
          </cell>
        </row>
        <row r="407">
          <cell r="M407">
            <v>-4500</v>
          </cell>
        </row>
        <row r="408">
          <cell r="M408">
            <v>-9193</v>
          </cell>
        </row>
        <row r="410">
          <cell r="M410">
            <v>-3500</v>
          </cell>
        </row>
        <row r="411">
          <cell r="M411">
            <v>-2500</v>
          </cell>
        </row>
        <row r="412">
          <cell r="M412">
            <v>-2500</v>
          </cell>
        </row>
        <row r="413">
          <cell r="L413">
            <v>-4000</v>
          </cell>
        </row>
        <row r="414">
          <cell r="M414">
            <v>-2000</v>
          </cell>
        </row>
        <row r="416">
          <cell r="M416">
            <v>-2000</v>
          </cell>
        </row>
        <row r="417">
          <cell r="M417">
            <v>-3000</v>
          </cell>
        </row>
        <row r="418">
          <cell r="M418">
            <v>-5000</v>
          </cell>
        </row>
        <row r="419">
          <cell r="M419">
            <v>-1000</v>
          </cell>
        </row>
        <row r="420">
          <cell r="M420">
            <v>-1000</v>
          </cell>
        </row>
        <row r="422">
          <cell r="M422">
            <v>-1500</v>
          </cell>
        </row>
        <row r="423">
          <cell r="M423">
            <v>-2000</v>
          </cell>
        </row>
        <row r="424">
          <cell r="M424">
            <v>-2000</v>
          </cell>
        </row>
        <row r="427">
          <cell r="L427">
            <v>-5000</v>
          </cell>
        </row>
        <row r="428">
          <cell r="M428">
            <v>-3000</v>
          </cell>
        </row>
        <row r="429">
          <cell r="M429">
            <v>-2000</v>
          </cell>
        </row>
        <row r="430">
          <cell r="M430">
            <v>-6000</v>
          </cell>
        </row>
        <row r="432">
          <cell r="M432">
            <v>-76</v>
          </cell>
        </row>
        <row r="433">
          <cell r="M433">
            <v>-2000</v>
          </cell>
        </row>
        <row r="434">
          <cell r="M434">
            <v>601</v>
          </cell>
        </row>
        <row r="436">
          <cell r="L436">
            <v>-1500</v>
          </cell>
        </row>
        <row r="442">
          <cell r="N442">
            <v>-300</v>
          </cell>
        </row>
        <row r="443">
          <cell r="M443">
            <v>-2500</v>
          </cell>
        </row>
        <row r="444">
          <cell r="L444">
            <v>-3000</v>
          </cell>
        </row>
        <row r="445">
          <cell r="L445">
            <v>-1500</v>
          </cell>
        </row>
        <row r="446">
          <cell r="L446">
            <v>-500</v>
          </cell>
        </row>
        <row r="447">
          <cell r="L447">
            <v>-1000</v>
          </cell>
        </row>
        <row r="448">
          <cell r="L448">
            <v>-750</v>
          </cell>
        </row>
        <row r="449">
          <cell r="L449">
            <v>-3000</v>
          </cell>
        </row>
        <row r="450">
          <cell r="M450">
            <v>-3000</v>
          </cell>
        </row>
        <row r="451">
          <cell r="L451">
            <v>-9000</v>
          </cell>
        </row>
        <row r="452">
          <cell r="L452">
            <v>491</v>
          </cell>
        </row>
        <row r="463">
          <cell r="L463">
            <v>-4200</v>
          </cell>
        </row>
        <row r="466">
          <cell r="L466">
            <v>-1000</v>
          </cell>
        </row>
        <row r="468">
          <cell r="I468">
            <v>50</v>
          </cell>
          <cell r="L468">
            <v>-50</v>
          </cell>
        </row>
        <row r="469">
          <cell r="L469">
            <v>-5000</v>
          </cell>
        </row>
        <row r="470">
          <cell r="L470">
            <v>-600</v>
          </cell>
        </row>
        <row r="471">
          <cell r="L471">
            <v>-3000</v>
          </cell>
        </row>
        <row r="478">
          <cell r="I478">
            <v>-890</v>
          </cell>
        </row>
        <row r="482">
          <cell r="I482">
            <v>-3000</v>
          </cell>
        </row>
        <row r="485">
          <cell r="K485">
            <v>-975</v>
          </cell>
        </row>
        <row r="487">
          <cell r="I487">
            <v>2000</v>
          </cell>
        </row>
        <row r="494">
          <cell r="L494">
            <v>-800</v>
          </cell>
        </row>
        <row r="495">
          <cell r="L495">
            <v>-6002</v>
          </cell>
        </row>
        <row r="505">
          <cell r="L505">
            <v>-1000</v>
          </cell>
        </row>
        <row r="506">
          <cell r="L506">
            <v>-2000</v>
          </cell>
        </row>
        <row r="507">
          <cell r="M507">
            <v>-1000</v>
          </cell>
        </row>
        <row r="509">
          <cell r="M509">
            <v>-3906</v>
          </cell>
        </row>
        <row r="510">
          <cell r="L510">
            <v>-5000</v>
          </cell>
        </row>
        <row r="511">
          <cell r="L511">
            <v>-12000</v>
          </cell>
        </row>
        <row r="513">
          <cell r="L513">
            <v>-1000</v>
          </cell>
        </row>
        <row r="514">
          <cell r="L514">
            <v>-3000</v>
          </cell>
        </row>
        <row r="515">
          <cell r="L515">
            <v>-10000</v>
          </cell>
        </row>
        <row r="516">
          <cell r="I516">
            <v>1962</v>
          </cell>
          <cell r="L516">
            <v>-6562</v>
          </cell>
        </row>
        <row r="518">
          <cell r="L518">
            <v>-270</v>
          </cell>
        </row>
        <row r="519">
          <cell r="L519">
            <v>-921</v>
          </cell>
        </row>
        <row r="520">
          <cell r="L520">
            <v>-1361</v>
          </cell>
        </row>
        <row r="521">
          <cell r="L521">
            <v>-7500</v>
          </cell>
        </row>
        <row r="522">
          <cell r="M522">
            <v>-9500</v>
          </cell>
        </row>
        <row r="523">
          <cell r="M523">
            <v>-9500</v>
          </cell>
        </row>
        <row r="526">
          <cell r="L526">
            <v>-7000</v>
          </cell>
        </row>
        <row r="527">
          <cell r="L527">
            <v>-2000</v>
          </cell>
        </row>
        <row r="528">
          <cell r="M528">
            <v>-6000</v>
          </cell>
        </row>
        <row r="529">
          <cell r="L529">
            <v>-2000</v>
          </cell>
        </row>
        <row r="530">
          <cell r="L530">
            <v>-2000</v>
          </cell>
        </row>
        <row r="531">
          <cell r="L531">
            <v>-2000</v>
          </cell>
        </row>
        <row r="532">
          <cell r="M532">
            <v>-500</v>
          </cell>
        </row>
        <row r="533">
          <cell r="L533">
            <v>-2000</v>
          </cell>
        </row>
        <row r="534">
          <cell r="L534">
            <v>-3000</v>
          </cell>
        </row>
        <row r="535">
          <cell r="L535">
            <v>-8000</v>
          </cell>
        </row>
        <row r="536">
          <cell r="L536">
            <v>-2500</v>
          </cell>
        </row>
        <row r="539">
          <cell r="M539">
            <v>-5000</v>
          </cell>
        </row>
        <row r="540">
          <cell r="L540">
            <v>-2171</v>
          </cell>
        </row>
        <row r="542">
          <cell r="L542">
            <v>-1654</v>
          </cell>
        </row>
        <row r="544">
          <cell r="L544">
            <v>-500</v>
          </cell>
        </row>
        <row r="552">
          <cell r="L552">
            <v>-3428</v>
          </cell>
        </row>
        <row r="560">
          <cell r="L560">
            <v>-500</v>
          </cell>
        </row>
        <row r="561">
          <cell r="N561">
            <v>-1000</v>
          </cell>
        </row>
        <row r="562">
          <cell r="M562">
            <v>-500</v>
          </cell>
        </row>
        <row r="563">
          <cell r="I563">
            <v>909</v>
          </cell>
          <cell r="L563">
            <v>2349</v>
          </cell>
        </row>
        <row r="564">
          <cell r="L564">
            <v>-18500</v>
          </cell>
        </row>
        <row r="565">
          <cell r="M565">
            <v>-1291</v>
          </cell>
        </row>
        <row r="566">
          <cell r="N566">
            <v>1685</v>
          </cell>
        </row>
        <row r="573">
          <cell r="M573">
            <v>-6000</v>
          </cell>
        </row>
        <row r="574">
          <cell r="M574">
            <v>890</v>
          </cell>
        </row>
        <row r="585">
          <cell r="I585">
            <v>-6100</v>
          </cell>
          <cell r="L585">
            <v>6100</v>
          </cell>
        </row>
        <row r="605">
          <cell r="M605">
            <v>10000</v>
          </cell>
        </row>
        <row r="607">
          <cell r="M607">
            <v>5527</v>
          </cell>
        </row>
        <row r="609">
          <cell r="M609">
            <v>7117</v>
          </cell>
        </row>
        <row r="610">
          <cell r="I610">
            <v>85</v>
          </cell>
          <cell r="M610">
            <v>74953</v>
          </cell>
        </row>
        <row r="661">
          <cell r="L661">
            <v>-17117</v>
          </cell>
        </row>
        <row r="664">
          <cell r="L664">
            <v>-18527</v>
          </cell>
        </row>
        <row r="666">
          <cell r="K666">
            <v>12000</v>
          </cell>
        </row>
        <row r="670">
          <cell r="I670">
            <v>-1966</v>
          </cell>
          <cell r="M670">
            <v>1966</v>
          </cell>
        </row>
        <row r="685">
          <cell r="L685">
            <v>2955</v>
          </cell>
        </row>
        <row r="691">
          <cell r="I691">
            <v>9000</v>
          </cell>
        </row>
        <row r="696">
          <cell r="I696">
            <v>272</v>
          </cell>
        </row>
        <row r="701">
          <cell r="I701">
            <v>256</v>
          </cell>
        </row>
        <row r="722">
          <cell r="P722">
            <v>499</v>
          </cell>
        </row>
        <row r="725">
          <cell r="I725">
            <v>51082</v>
          </cell>
        </row>
        <row r="727">
          <cell r="N727">
            <v>-39</v>
          </cell>
        </row>
        <row r="736">
          <cell r="K736">
            <v>25914</v>
          </cell>
        </row>
        <row r="741">
          <cell r="I741">
            <v>12693</v>
          </cell>
          <cell r="P741">
            <v>-12693</v>
          </cell>
        </row>
        <row r="743">
          <cell r="K743">
            <v>-2045</v>
          </cell>
        </row>
        <row r="747">
          <cell r="K747">
            <v>7188</v>
          </cell>
        </row>
        <row r="757">
          <cell r="I757">
            <v>-523</v>
          </cell>
        </row>
        <row r="763">
          <cell r="I763">
            <v>-3500</v>
          </cell>
        </row>
        <row r="764">
          <cell r="K764">
            <v>-400</v>
          </cell>
        </row>
        <row r="765">
          <cell r="K765">
            <v>210</v>
          </cell>
        </row>
        <row r="767">
          <cell r="G767">
            <v>-1000</v>
          </cell>
          <cell r="H767">
            <v>-1000</v>
          </cell>
        </row>
        <row r="773">
          <cell r="K773">
            <v>-735</v>
          </cell>
          <cell r="N773">
            <v>100</v>
          </cell>
        </row>
        <row r="774">
          <cell r="H774">
            <v>60</v>
          </cell>
          <cell r="I774">
            <v>-9464</v>
          </cell>
          <cell r="K774">
            <v>1950</v>
          </cell>
        </row>
        <row r="780">
          <cell r="G780">
            <v>213</v>
          </cell>
          <cell r="H780">
            <v>89</v>
          </cell>
          <cell r="I780">
            <v>-302</v>
          </cell>
        </row>
        <row r="782">
          <cell r="K782">
            <v>-3500</v>
          </cell>
        </row>
        <row r="783">
          <cell r="I783">
            <v>18923</v>
          </cell>
        </row>
        <row r="789">
          <cell r="K789">
            <v>-7000</v>
          </cell>
        </row>
        <row r="802">
          <cell r="I802">
            <v>2000</v>
          </cell>
        </row>
        <row r="813">
          <cell r="K813">
            <v>134569</v>
          </cell>
        </row>
        <row r="814">
          <cell r="K814">
            <v>-446</v>
          </cell>
        </row>
        <row r="815">
          <cell r="K815">
            <v>12270</v>
          </cell>
        </row>
        <row r="817">
          <cell r="K817">
            <v>483802</v>
          </cell>
        </row>
        <row r="820">
          <cell r="M820">
            <v>-2935</v>
          </cell>
        </row>
        <row r="825">
          <cell r="G825">
            <v>63205</v>
          </cell>
          <cell r="H825">
            <v>12023</v>
          </cell>
          <cell r="I825">
            <v>13273</v>
          </cell>
          <cell r="J825">
            <v>1788</v>
          </cell>
          <cell r="K825">
            <v>1044394</v>
          </cell>
          <cell r="L825">
            <v>-211306</v>
          </cell>
          <cell r="M825">
            <v>-49384</v>
          </cell>
          <cell r="N825">
            <v>-14829</v>
          </cell>
          <cell r="O825">
            <v>0</v>
          </cell>
          <cell r="P825">
            <v>-12194</v>
          </cell>
        </row>
      </sheetData>
      <sheetData sheetId="13">
        <row r="3">
          <cell r="C3">
            <v>3705</v>
          </cell>
          <cell r="F3">
            <v>446</v>
          </cell>
          <cell r="G3">
            <v>51</v>
          </cell>
          <cell r="J3">
            <v>36554</v>
          </cell>
          <cell r="K3">
            <v>1157</v>
          </cell>
          <cell r="M3">
            <v>41913</v>
          </cell>
        </row>
        <row r="4">
          <cell r="C4">
            <v>4360</v>
          </cell>
          <cell r="J4">
            <v>72932</v>
          </cell>
          <cell r="K4">
            <v>-88318</v>
          </cell>
          <cell r="M4">
            <v>-11026</v>
          </cell>
        </row>
        <row r="5">
          <cell r="C5">
            <v>1310</v>
          </cell>
          <cell r="D5">
            <v>1800</v>
          </cell>
          <cell r="J5">
            <v>17402</v>
          </cell>
          <cell r="K5">
            <v>-22392</v>
          </cell>
          <cell r="M5">
            <v>-1880</v>
          </cell>
        </row>
        <row r="6">
          <cell r="C6">
            <v>60834</v>
          </cell>
          <cell r="D6">
            <v>240</v>
          </cell>
          <cell r="J6">
            <v>47692</v>
          </cell>
          <cell r="K6">
            <v>1546</v>
          </cell>
          <cell r="M6">
            <v>110312</v>
          </cell>
        </row>
        <row r="7">
          <cell r="C7">
            <v>1000</v>
          </cell>
          <cell r="J7">
            <v>17028</v>
          </cell>
          <cell r="K7">
            <v>9137</v>
          </cell>
          <cell r="M7">
            <v>27165</v>
          </cell>
        </row>
        <row r="8">
          <cell r="C8">
            <v>1797</v>
          </cell>
          <cell r="D8">
            <v>770</v>
          </cell>
          <cell r="J8">
            <v>3280</v>
          </cell>
          <cell r="K8">
            <v>-16809</v>
          </cell>
          <cell r="M8">
            <v>-10962</v>
          </cell>
        </row>
        <row r="9">
          <cell r="C9">
            <v>1912</v>
          </cell>
          <cell r="J9">
            <v>2862</v>
          </cell>
          <cell r="K9">
            <v>-23030</v>
          </cell>
          <cell r="M9">
            <v>-18256</v>
          </cell>
        </row>
        <row r="10">
          <cell r="C10">
            <v>1797</v>
          </cell>
          <cell r="D10">
            <v>1300</v>
          </cell>
          <cell r="J10">
            <v>3477</v>
          </cell>
          <cell r="K10">
            <v>-13859</v>
          </cell>
          <cell r="M10">
            <v>-7285</v>
          </cell>
        </row>
        <row r="11">
          <cell r="C11">
            <v>1797</v>
          </cell>
          <cell r="D11">
            <v>650</v>
          </cell>
          <cell r="J11">
            <v>3191</v>
          </cell>
          <cell r="K11">
            <v>-16176</v>
          </cell>
          <cell r="M11">
            <v>-10538</v>
          </cell>
        </row>
        <row r="12">
          <cell r="J12">
            <v>1061</v>
          </cell>
          <cell r="K12">
            <v>-492</v>
          </cell>
          <cell r="M12">
            <v>569</v>
          </cell>
        </row>
        <row r="13">
          <cell r="C13">
            <v>25528</v>
          </cell>
          <cell r="F13">
            <v>-13000</v>
          </cell>
          <cell r="H13">
            <v>100</v>
          </cell>
          <cell r="J13">
            <v>33666</v>
          </cell>
          <cell r="K13">
            <v>-12205</v>
          </cell>
          <cell r="M13">
            <v>34089</v>
          </cell>
        </row>
        <row r="14">
          <cell r="C14">
            <v>2000</v>
          </cell>
          <cell r="F14">
            <v>-600</v>
          </cell>
          <cell r="J14">
            <v>1872</v>
          </cell>
          <cell r="K14">
            <v>-500</v>
          </cell>
          <cell r="M14">
            <v>2772</v>
          </cell>
        </row>
        <row r="15">
          <cell r="C15">
            <v>2089</v>
          </cell>
          <cell r="J15">
            <v>19535</v>
          </cell>
          <cell r="K15">
            <v>2624</v>
          </cell>
          <cell r="M15">
            <v>24248</v>
          </cell>
        </row>
        <row r="16">
          <cell r="C16">
            <v>245</v>
          </cell>
          <cell r="F16">
            <v>61174</v>
          </cell>
          <cell r="H16">
            <v>150</v>
          </cell>
          <cell r="J16">
            <v>5855</v>
          </cell>
          <cell r="K16">
            <v>4126</v>
          </cell>
          <cell r="M16">
            <v>71550</v>
          </cell>
        </row>
        <row r="17">
          <cell r="C17">
            <v>210500</v>
          </cell>
          <cell r="F17">
            <v>-72287</v>
          </cell>
          <cell r="J17">
            <v>2049</v>
          </cell>
          <cell r="K17">
            <v>-216968</v>
          </cell>
          <cell r="M17">
            <v>-76706</v>
          </cell>
        </row>
        <row r="18">
          <cell r="C18">
            <v>54500</v>
          </cell>
          <cell r="F18">
            <v>-11050</v>
          </cell>
          <cell r="J18">
            <v>866</v>
          </cell>
          <cell r="K18">
            <v>-48803</v>
          </cell>
          <cell r="M18">
            <v>-4487</v>
          </cell>
        </row>
        <row r="19">
          <cell r="F19">
            <v>15000</v>
          </cell>
          <cell r="J19">
            <v>9821</v>
          </cell>
          <cell r="K19">
            <v>-7993</v>
          </cell>
          <cell r="M19">
            <v>16828</v>
          </cell>
        </row>
        <row r="20">
          <cell r="C20">
            <v>350</v>
          </cell>
          <cell r="J20">
            <v>-624</v>
          </cell>
          <cell r="M20">
            <v>-274</v>
          </cell>
        </row>
      </sheetData>
      <sheetData sheetId="14">
        <row r="3">
          <cell r="C3">
            <v>4609</v>
          </cell>
          <cell r="D3">
            <v>677</v>
          </cell>
          <cell r="E3">
            <v>365</v>
          </cell>
          <cell r="G3">
            <v>36222</v>
          </cell>
          <cell r="H3">
            <v>40</v>
          </cell>
          <cell r="L3">
            <v>41913</v>
          </cell>
        </row>
        <row r="4">
          <cell r="C4">
            <v>-5700</v>
          </cell>
          <cell r="D4">
            <v>-941</v>
          </cell>
          <cell r="E4">
            <v>-25282</v>
          </cell>
          <cell r="G4">
            <v>20078</v>
          </cell>
          <cell r="H4">
            <v>819</v>
          </cell>
          <cell r="L4">
            <v>-11026</v>
          </cell>
        </row>
        <row r="5">
          <cell r="C5">
            <v>-2332</v>
          </cell>
          <cell r="D5">
            <v>-826</v>
          </cell>
          <cell r="E5">
            <v>-14288</v>
          </cell>
          <cell r="G5">
            <v>12296</v>
          </cell>
          <cell r="H5">
            <v>1470</v>
          </cell>
          <cell r="I5">
            <v>1800</v>
          </cell>
          <cell r="L5">
            <v>-1880</v>
          </cell>
        </row>
        <row r="6">
          <cell r="C6">
            <v>46755</v>
          </cell>
          <cell r="D6">
            <v>8164</v>
          </cell>
          <cell r="E6">
            <v>49153</v>
          </cell>
          <cell r="H6">
            <v>6240</v>
          </cell>
          <cell r="L6">
            <v>110312</v>
          </cell>
        </row>
        <row r="7">
          <cell r="C7">
            <v>7776</v>
          </cell>
          <cell r="D7">
            <v>1361</v>
          </cell>
          <cell r="E7">
            <v>18</v>
          </cell>
          <cell r="F7">
            <v>1788</v>
          </cell>
          <cell r="G7">
            <v>16222</v>
          </cell>
          <cell r="L7">
            <v>27165</v>
          </cell>
        </row>
        <row r="8">
          <cell r="C8">
            <v>-7893</v>
          </cell>
          <cell r="D8">
            <v>-1237</v>
          </cell>
          <cell r="E8">
            <v>-3671</v>
          </cell>
          <cell r="G8">
            <v>1069</v>
          </cell>
          <cell r="I8">
            <v>770</v>
          </cell>
          <cell r="L8">
            <v>-10962</v>
          </cell>
        </row>
        <row r="9">
          <cell r="C9">
            <v>-8317</v>
          </cell>
          <cell r="D9">
            <v>-1340</v>
          </cell>
          <cell r="E9">
            <v>-8599</v>
          </cell>
          <cell r="L9">
            <v>-18256</v>
          </cell>
        </row>
        <row r="10">
          <cell r="C10">
            <v>-698</v>
          </cell>
          <cell r="D10">
            <v>-71</v>
          </cell>
          <cell r="E10">
            <v>-10768</v>
          </cell>
          <cell r="G10">
            <v>2952</v>
          </cell>
          <cell r="H10">
            <v>300</v>
          </cell>
          <cell r="I10">
            <v>1000</v>
          </cell>
          <cell r="L10">
            <v>-7285</v>
          </cell>
        </row>
        <row r="11">
          <cell r="C11">
            <v>-5812</v>
          </cell>
          <cell r="D11">
            <v>-866</v>
          </cell>
          <cell r="E11">
            <v>-7182</v>
          </cell>
          <cell r="G11">
            <v>2672</v>
          </cell>
          <cell r="H11">
            <v>250</v>
          </cell>
          <cell r="I11">
            <v>400</v>
          </cell>
          <cell r="L11">
            <v>-10538</v>
          </cell>
        </row>
        <row r="12">
          <cell r="C12">
            <v>-154</v>
          </cell>
          <cell r="D12">
            <v>-38</v>
          </cell>
          <cell r="E12">
            <v>-300</v>
          </cell>
          <cell r="G12">
            <v>1061</v>
          </cell>
          <cell r="L12">
            <v>569</v>
          </cell>
        </row>
        <row r="13">
          <cell r="C13">
            <v>42125</v>
          </cell>
          <cell r="D13">
            <v>8198</v>
          </cell>
          <cell r="E13">
            <v>-21455</v>
          </cell>
          <cell r="G13">
            <v>5221</v>
          </cell>
          <cell r="L13">
            <v>34089</v>
          </cell>
        </row>
        <row r="14">
          <cell r="C14">
            <v>-289</v>
          </cell>
          <cell r="D14">
            <v>-55</v>
          </cell>
          <cell r="E14">
            <v>2355</v>
          </cell>
          <cell r="G14">
            <v>661</v>
          </cell>
          <cell r="H14">
            <v>100</v>
          </cell>
          <cell r="L14">
            <v>2772</v>
          </cell>
        </row>
        <row r="15">
          <cell r="C15">
            <v>3721</v>
          </cell>
          <cell r="D15">
            <v>625</v>
          </cell>
          <cell r="E15">
            <v>1587</v>
          </cell>
          <cell r="G15">
            <v>17087</v>
          </cell>
          <cell r="H15">
            <v>774</v>
          </cell>
          <cell r="I15">
            <v>454</v>
          </cell>
          <cell r="L15">
            <v>24248</v>
          </cell>
        </row>
        <row r="16">
          <cell r="C16">
            <v>10083</v>
          </cell>
          <cell r="D16">
            <v>1840</v>
          </cell>
          <cell r="E16">
            <v>52267</v>
          </cell>
          <cell r="G16">
            <v>1182</v>
          </cell>
          <cell r="H16">
            <v>1178</v>
          </cell>
          <cell r="I16">
            <v>5000</v>
          </cell>
          <cell r="L16">
            <v>71550</v>
          </cell>
        </row>
        <row r="17">
          <cell r="C17">
            <v>-11626</v>
          </cell>
          <cell r="D17">
            <v>-1342</v>
          </cell>
          <cell r="E17">
            <v>-65787</v>
          </cell>
          <cell r="G17">
            <v>2049</v>
          </cell>
          <cell r="L17">
            <v>-76706</v>
          </cell>
        </row>
        <row r="18">
          <cell r="C18">
            <v>-1272</v>
          </cell>
          <cell r="D18">
            <v>-31</v>
          </cell>
          <cell r="E18">
            <v>-3606</v>
          </cell>
          <cell r="G18">
            <v>422</v>
          </cell>
          <cell r="L18">
            <v>-4487</v>
          </cell>
        </row>
        <row r="19">
          <cell r="C19">
            <v>-6994</v>
          </cell>
          <cell r="D19">
            <v>-999</v>
          </cell>
          <cell r="E19">
            <v>15000</v>
          </cell>
          <cell r="G19">
            <v>9821</v>
          </cell>
          <cell r="L19">
            <v>16828</v>
          </cell>
        </row>
        <row r="20">
          <cell r="C20">
            <v>298</v>
          </cell>
          <cell r="D20">
            <v>52</v>
          </cell>
          <cell r="I20">
            <v>-624</v>
          </cell>
          <cell r="L20">
            <v>-274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7" workbookViewId="0">
      <selection activeCell="D28" sqref="D28"/>
    </sheetView>
  </sheetViews>
  <sheetFormatPr defaultRowHeight="12" x14ac:dyDescent="0.2"/>
  <cols>
    <col min="1" max="1" width="45.1640625" style="13" customWidth="1"/>
    <col min="2" max="2" width="13" style="13" customWidth="1"/>
    <col min="3" max="3" width="13.6640625" style="13" customWidth="1"/>
    <col min="4" max="4" width="12.6640625" style="1" customWidth="1"/>
    <col min="5" max="5" width="2" style="1" customWidth="1"/>
    <col min="6" max="6" width="44.83203125" style="13" customWidth="1"/>
    <col min="7" max="7" width="14.1640625" style="13" customWidth="1"/>
    <col min="8" max="8" width="13.83203125" style="13" customWidth="1"/>
    <col min="9" max="9" width="12.5" style="1" customWidth="1"/>
    <col min="10" max="16384" width="9.33203125" style="12"/>
  </cols>
  <sheetData>
    <row r="1" spans="1:9" ht="39.950000000000003" customHeight="1" thickBot="1" x14ac:dyDescent="0.25">
      <c r="A1" s="20"/>
      <c r="B1" s="22" t="s">
        <v>413</v>
      </c>
      <c r="C1" s="21" t="s">
        <v>43</v>
      </c>
      <c r="D1" s="22" t="s">
        <v>44</v>
      </c>
      <c r="E1" s="664"/>
      <c r="F1" s="20" t="s">
        <v>253</v>
      </c>
      <c r="G1" s="22" t="s">
        <v>413</v>
      </c>
      <c r="H1" s="21" t="s">
        <v>43</v>
      </c>
      <c r="I1" s="22" t="s">
        <v>44</v>
      </c>
    </row>
    <row r="2" spans="1:9" s="11" customFormat="1" ht="12.95" customHeight="1" x14ac:dyDescent="0.2">
      <c r="A2" s="23" t="s">
        <v>305</v>
      </c>
      <c r="B2" s="9"/>
      <c r="C2" s="24"/>
      <c r="D2" s="9"/>
      <c r="E2" s="665"/>
      <c r="F2" s="23" t="s">
        <v>306</v>
      </c>
      <c r="G2" s="8"/>
      <c r="H2" s="23"/>
      <c r="I2" s="8"/>
    </row>
    <row r="3" spans="1:9" ht="24.95" customHeight="1" x14ac:dyDescent="0.2">
      <c r="A3" s="25" t="s">
        <v>185</v>
      </c>
      <c r="B3" s="7">
        <v>3919491</v>
      </c>
      <c r="C3" s="25">
        <v>728017</v>
      </c>
      <c r="D3" s="7">
        <v>4647508</v>
      </c>
      <c r="E3" s="627"/>
      <c r="F3" s="25" t="s">
        <v>337</v>
      </c>
      <c r="G3" s="7">
        <v>7648348</v>
      </c>
      <c r="H3" s="25">
        <v>205493</v>
      </c>
      <c r="I3" s="7">
        <v>7853841</v>
      </c>
    </row>
    <row r="4" spans="1:9" ht="15" customHeight="1" x14ac:dyDescent="0.2">
      <c r="A4" s="25" t="s">
        <v>187</v>
      </c>
      <c r="B4" s="7">
        <v>6095000</v>
      </c>
      <c r="C4" s="25">
        <v>-288000</v>
      </c>
      <c r="D4" s="7">
        <v>5807000</v>
      </c>
      <c r="E4" s="627"/>
      <c r="F4" s="25" t="s">
        <v>289</v>
      </c>
      <c r="G4" s="7">
        <v>9292643</v>
      </c>
      <c r="H4" s="25">
        <v>13745</v>
      </c>
      <c r="I4" s="7">
        <v>9306388</v>
      </c>
    </row>
    <row r="5" spans="1:9" ht="22.5" customHeight="1" x14ac:dyDescent="0.2">
      <c r="A5" s="25" t="s">
        <v>188</v>
      </c>
      <c r="B5" s="7">
        <v>2592248</v>
      </c>
      <c r="C5" s="25">
        <v>5282</v>
      </c>
      <c r="D5" s="7">
        <v>2597530</v>
      </c>
      <c r="E5" s="627"/>
      <c r="F5" s="25" t="s">
        <v>245</v>
      </c>
      <c r="G5" s="7">
        <v>1905046</v>
      </c>
      <c r="H5" s="25">
        <v>365546</v>
      </c>
      <c r="I5" s="7">
        <v>2270592</v>
      </c>
    </row>
    <row r="6" spans="1:9" ht="20.100000000000001" customHeight="1" x14ac:dyDescent="0.2">
      <c r="A6" s="25" t="s">
        <v>191</v>
      </c>
      <c r="B6" s="7"/>
      <c r="C6" s="25">
        <v>18222</v>
      </c>
      <c r="D6" s="7">
        <v>18222</v>
      </c>
      <c r="E6" s="627"/>
      <c r="F6" s="25" t="s">
        <v>307</v>
      </c>
      <c r="G6" s="7">
        <v>349620</v>
      </c>
      <c r="H6" s="25">
        <v>648520</v>
      </c>
      <c r="I6" s="7">
        <v>998140</v>
      </c>
    </row>
    <row r="7" spans="1:9" ht="14.1" customHeight="1" x14ac:dyDescent="0.2">
      <c r="A7" s="23" t="s">
        <v>237</v>
      </c>
      <c r="B7" s="23">
        <v>12606739</v>
      </c>
      <c r="C7" s="23">
        <v>463521</v>
      </c>
      <c r="D7" s="7">
        <v>13070260</v>
      </c>
      <c r="E7" s="627"/>
      <c r="F7" s="25" t="s">
        <v>133</v>
      </c>
      <c r="G7" s="7">
        <v>10000</v>
      </c>
      <c r="H7" s="25">
        <v>-5000</v>
      </c>
      <c r="I7" s="7">
        <v>5000</v>
      </c>
    </row>
    <row r="8" spans="1:9" ht="14.1" customHeight="1" x14ac:dyDescent="0.2">
      <c r="A8" s="25" t="s">
        <v>183</v>
      </c>
      <c r="B8" s="23"/>
      <c r="C8" s="23"/>
      <c r="D8" s="7">
        <v>0</v>
      </c>
      <c r="E8" s="627"/>
      <c r="F8" s="23" t="s">
        <v>242</v>
      </c>
      <c r="G8" s="23">
        <v>19205657</v>
      </c>
      <c r="H8" s="23">
        <v>1228304</v>
      </c>
      <c r="I8" s="8">
        <v>20433961</v>
      </c>
    </row>
    <row r="9" spans="1:9" ht="24.95" customHeight="1" x14ac:dyDescent="0.2">
      <c r="A9" s="25" t="s">
        <v>192</v>
      </c>
      <c r="B9" s="10">
        <v>6698704</v>
      </c>
      <c r="C9" s="25">
        <v>772783</v>
      </c>
      <c r="D9" s="7">
        <v>7471487</v>
      </c>
      <c r="E9" s="627"/>
      <c r="F9" s="25" t="s">
        <v>251</v>
      </c>
      <c r="G9" s="25">
        <v>99786</v>
      </c>
      <c r="H9" s="25"/>
      <c r="I9" s="7">
        <v>99786</v>
      </c>
    </row>
    <row r="10" spans="1:9" s="11" customFormat="1" ht="24.95" customHeight="1" x14ac:dyDescent="0.2">
      <c r="A10" s="25" t="s">
        <v>146</v>
      </c>
      <c r="B10" s="666"/>
      <c r="C10" s="630">
        <v>1519</v>
      </c>
      <c r="D10" s="7">
        <v>1519</v>
      </c>
      <c r="E10" s="627"/>
      <c r="F10" s="25" t="s">
        <v>124</v>
      </c>
      <c r="G10" s="7"/>
      <c r="H10" s="25">
        <v>1519</v>
      </c>
      <c r="I10" s="7">
        <v>1519</v>
      </c>
    </row>
    <row r="11" spans="1:9" s="11" customFormat="1" ht="12" customHeight="1" x14ac:dyDescent="0.2">
      <c r="A11" s="28" t="s">
        <v>249</v>
      </c>
      <c r="B11" s="667">
        <v>19305443</v>
      </c>
      <c r="C11" s="667">
        <v>1237823</v>
      </c>
      <c r="D11" s="668">
        <v>20543266</v>
      </c>
      <c r="E11" s="627"/>
      <c r="F11" s="26" t="s">
        <v>308</v>
      </c>
      <c r="G11" s="26">
        <v>19305443</v>
      </c>
      <c r="H11" s="26">
        <v>1229823</v>
      </c>
      <c r="I11" s="668">
        <v>20535266</v>
      </c>
    </row>
    <row r="12" spans="1:9" ht="14.1" customHeight="1" x14ac:dyDescent="0.2">
      <c r="A12" s="23" t="s">
        <v>227</v>
      </c>
      <c r="B12" s="7"/>
      <c r="C12" s="23"/>
      <c r="D12" s="7">
        <v>0</v>
      </c>
      <c r="E12" s="627"/>
      <c r="F12" s="23" t="s">
        <v>226</v>
      </c>
      <c r="G12" s="23"/>
      <c r="H12" s="23"/>
      <c r="I12" s="7">
        <v>0</v>
      </c>
    </row>
    <row r="13" spans="1:9" ht="24" customHeight="1" x14ac:dyDescent="0.2">
      <c r="A13" s="25" t="s">
        <v>186</v>
      </c>
      <c r="B13" s="7">
        <v>9335556</v>
      </c>
      <c r="C13" s="25">
        <v>98329</v>
      </c>
      <c r="D13" s="7">
        <v>9433885</v>
      </c>
      <c r="E13" s="627"/>
      <c r="F13" s="25" t="s">
        <v>193</v>
      </c>
      <c r="G13" s="25">
        <v>102329</v>
      </c>
      <c r="H13" s="25">
        <v>-4879</v>
      </c>
      <c r="I13" s="7">
        <v>97450</v>
      </c>
    </row>
    <row r="14" spans="1:9" ht="20.100000000000001" customHeight="1" x14ac:dyDescent="0.2">
      <c r="A14" s="25" t="s">
        <v>187</v>
      </c>
      <c r="B14" s="7"/>
      <c r="C14" s="25"/>
      <c r="D14" s="7">
        <v>0</v>
      </c>
      <c r="E14" s="627"/>
      <c r="F14" s="25" t="s">
        <v>228</v>
      </c>
      <c r="G14" s="7">
        <v>27267279</v>
      </c>
      <c r="H14" s="25">
        <v>-7139</v>
      </c>
      <c r="I14" s="7">
        <v>27260140</v>
      </c>
    </row>
    <row r="15" spans="1:9" ht="15" customHeight="1" x14ac:dyDescent="0.2">
      <c r="A15" s="25" t="s">
        <v>189</v>
      </c>
      <c r="B15" s="10">
        <v>76000</v>
      </c>
      <c r="C15" s="25">
        <v>3006</v>
      </c>
      <c r="D15" s="7">
        <v>79006</v>
      </c>
      <c r="E15" s="627"/>
      <c r="F15" s="25" t="s">
        <v>138</v>
      </c>
      <c r="G15" s="10">
        <v>163545</v>
      </c>
      <c r="H15" s="25">
        <v>11171</v>
      </c>
      <c r="I15" s="7">
        <v>174716</v>
      </c>
    </row>
    <row r="16" spans="1:9" ht="24.95" customHeight="1" x14ac:dyDescent="0.2">
      <c r="A16" s="25" t="s">
        <v>190</v>
      </c>
      <c r="B16" s="10">
        <v>3000</v>
      </c>
      <c r="C16" s="25">
        <v>1000</v>
      </c>
      <c r="D16" s="7">
        <v>4000</v>
      </c>
      <c r="E16" s="627"/>
      <c r="F16" s="25" t="s">
        <v>229</v>
      </c>
      <c r="G16" s="7">
        <v>5389562</v>
      </c>
      <c r="H16" s="25">
        <v>-85709</v>
      </c>
      <c r="I16" s="7">
        <v>5303853</v>
      </c>
    </row>
    <row r="17" spans="1:9" ht="24" customHeight="1" x14ac:dyDescent="0.2">
      <c r="A17" s="25" t="s">
        <v>135</v>
      </c>
      <c r="B17" s="10">
        <v>4439141</v>
      </c>
      <c r="C17" s="25"/>
      <c r="D17" s="7">
        <v>4439141</v>
      </c>
      <c r="E17" s="665"/>
      <c r="F17" s="25" t="s">
        <v>138</v>
      </c>
      <c r="G17" s="7">
        <v>44126</v>
      </c>
      <c r="H17" s="25">
        <v>8800</v>
      </c>
      <c r="I17" s="7">
        <v>52926</v>
      </c>
    </row>
    <row r="18" spans="1:9" ht="12.95" customHeight="1" x14ac:dyDescent="0.2">
      <c r="A18" s="23" t="s">
        <v>239</v>
      </c>
      <c r="B18" s="23">
        <v>13853697</v>
      </c>
      <c r="C18" s="23">
        <v>102335</v>
      </c>
      <c r="D18" s="7">
        <v>13956032</v>
      </c>
      <c r="E18" s="665"/>
      <c r="F18" s="25" t="s">
        <v>230</v>
      </c>
      <c r="G18" s="7">
        <v>18920</v>
      </c>
      <c r="H18" s="25">
        <v>-4734</v>
      </c>
      <c r="I18" s="7">
        <v>14186</v>
      </c>
    </row>
    <row r="19" spans="1:9" ht="24" customHeight="1" x14ac:dyDescent="0.2">
      <c r="A19" s="25" t="s">
        <v>183</v>
      </c>
      <c r="B19" s="23"/>
      <c r="C19" s="23"/>
      <c r="D19" s="7">
        <v>0</v>
      </c>
      <c r="E19" s="627"/>
      <c r="F19" s="25" t="s">
        <v>195</v>
      </c>
      <c r="G19" s="7">
        <v>25467</v>
      </c>
      <c r="H19" s="25"/>
      <c r="I19" s="7">
        <v>25467</v>
      </c>
    </row>
    <row r="20" spans="1:9" ht="12.95" customHeight="1" x14ac:dyDescent="0.2">
      <c r="A20" s="25" t="s">
        <v>246</v>
      </c>
      <c r="B20" s="25">
        <v>150000</v>
      </c>
      <c r="C20" s="25"/>
      <c r="D20" s="7">
        <v>150000</v>
      </c>
      <c r="E20" s="627"/>
      <c r="F20" s="23" t="s">
        <v>240</v>
      </c>
      <c r="G20" s="23">
        <v>32803557</v>
      </c>
      <c r="H20" s="23">
        <v>-102461</v>
      </c>
      <c r="I20" s="7">
        <v>32701096</v>
      </c>
    </row>
    <row r="21" spans="1:9" ht="24.95" customHeight="1" x14ac:dyDescent="0.2">
      <c r="A21" s="25" t="s">
        <v>247</v>
      </c>
      <c r="B21" s="10">
        <v>10241337</v>
      </c>
      <c r="C21" s="25">
        <v>-425397</v>
      </c>
      <c r="D21" s="7">
        <v>9815940</v>
      </c>
      <c r="E21" s="627"/>
      <c r="F21" s="25" t="s">
        <v>194</v>
      </c>
      <c r="G21" s="7"/>
      <c r="H21" s="23"/>
      <c r="I21" s="7">
        <v>0</v>
      </c>
    </row>
    <row r="22" spans="1:9" ht="12.95" customHeight="1" x14ac:dyDescent="0.2">
      <c r="A22" s="669" t="s">
        <v>339</v>
      </c>
      <c r="B22" s="25">
        <v>8687575</v>
      </c>
      <c r="C22" s="25">
        <v>199908</v>
      </c>
      <c r="D22" s="7">
        <v>8887483</v>
      </c>
      <c r="E22" s="627"/>
      <c r="F22" s="25" t="s">
        <v>235</v>
      </c>
      <c r="G22" s="7">
        <v>104052</v>
      </c>
      <c r="H22" s="25"/>
      <c r="I22" s="7">
        <v>104052</v>
      </c>
    </row>
    <row r="23" spans="1:9" ht="12.95" customHeight="1" x14ac:dyDescent="0.2">
      <c r="A23" s="25"/>
      <c r="B23" s="25"/>
      <c r="C23" s="25"/>
      <c r="D23" s="7">
        <v>0</v>
      </c>
      <c r="E23" s="627"/>
      <c r="F23" s="25" t="s">
        <v>234</v>
      </c>
      <c r="G23" s="7">
        <v>25000</v>
      </c>
      <c r="H23" s="25"/>
      <c r="I23" s="7">
        <v>25000</v>
      </c>
    </row>
    <row r="24" spans="1:9" ht="23.1" customHeight="1" x14ac:dyDescent="0.2">
      <c r="A24" s="628" t="s">
        <v>231</v>
      </c>
      <c r="B24" s="52">
        <v>32932609</v>
      </c>
      <c r="C24" s="185">
        <v>-123154</v>
      </c>
      <c r="D24" s="670">
        <v>32809455</v>
      </c>
      <c r="E24" s="665"/>
      <c r="F24" s="628" t="s">
        <v>232</v>
      </c>
      <c r="G24" s="52">
        <v>32932609</v>
      </c>
      <c r="H24" s="185">
        <v>-102461</v>
      </c>
      <c r="I24" s="670">
        <v>32830148</v>
      </c>
    </row>
    <row r="25" spans="1:9" ht="23.1" customHeight="1" x14ac:dyDescent="0.2">
      <c r="A25" s="628" t="s">
        <v>336</v>
      </c>
      <c r="B25" s="52">
        <v>52238052</v>
      </c>
      <c r="C25" s="185">
        <v>1114669</v>
      </c>
      <c r="D25" s="670">
        <v>53352721</v>
      </c>
      <c r="E25" s="665"/>
      <c r="F25" s="628" t="s">
        <v>336</v>
      </c>
      <c r="G25" s="26">
        <v>52238052</v>
      </c>
      <c r="H25" s="629">
        <v>1127362</v>
      </c>
      <c r="I25" s="670">
        <v>53365414</v>
      </c>
    </row>
    <row r="26" spans="1:9" ht="23.1" customHeight="1" x14ac:dyDescent="0.2">
      <c r="A26" s="630" t="s">
        <v>121</v>
      </c>
      <c r="B26" s="158">
        <v>12000000</v>
      </c>
      <c r="C26" s="630"/>
      <c r="D26" s="7">
        <v>12000000</v>
      </c>
      <c r="E26" s="627"/>
      <c r="F26" s="630" t="s">
        <v>122</v>
      </c>
      <c r="G26" s="158">
        <v>12000000</v>
      </c>
      <c r="H26" s="630">
        <v>-12693</v>
      </c>
      <c r="I26" s="7">
        <v>11987307</v>
      </c>
    </row>
    <row r="27" spans="1:9" ht="20.100000000000001" customHeight="1" x14ac:dyDescent="0.2">
      <c r="A27" s="26" t="s">
        <v>123</v>
      </c>
      <c r="B27" s="52">
        <v>64238052</v>
      </c>
      <c r="C27" s="26">
        <v>1114669</v>
      </c>
      <c r="D27" s="668">
        <v>65352721</v>
      </c>
      <c r="E27" s="627"/>
      <c r="F27" s="26" t="s">
        <v>123</v>
      </c>
      <c r="G27" s="26">
        <v>64238052</v>
      </c>
      <c r="H27" s="26">
        <v>1114669</v>
      </c>
      <c r="I27" s="668">
        <v>65352721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H19" sqref="H19"/>
    </sheetView>
  </sheetViews>
  <sheetFormatPr defaultRowHeight="12" x14ac:dyDescent="0.2"/>
  <cols>
    <col min="1" max="1" width="3.83203125" style="12" customWidth="1"/>
    <col min="2" max="2" width="38.33203125" style="12" customWidth="1"/>
    <col min="3" max="3" width="10.33203125" style="12" customWidth="1"/>
    <col min="4" max="4" width="11.6640625" style="12" customWidth="1"/>
    <col min="5" max="5" width="10" style="12" customWidth="1"/>
    <col min="6" max="6" width="11.83203125" style="12" customWidth="1"/>
    <col min="7" max="7" width="9.83203125" style="12" customWidth="1"/>
    <col min="8" max="9" width="10.5" style="12" customWidth="1"/>
    <col min="10" max="10" width="11.1640625" style="12" customWidth="1"/>
    <col min="11" max="11" width="11.83203125" style="12" customWidth="1"/>
    <col min="12" max="12" width="9.5" style="12" customWidth="1"/>
    <col min="13" max="13" width="8.1640625" style="12" customWidth="1"/>
    <col min="14" max="14" width="10.83203125" style="12" customWidth="1"/>
    <col min="15" max="16384" width="9.33203125" style="12"/>
  </cols>
  <sheetData>
    <row r="1" spans="1:14" ht="12.75" customHeight="1" x14ac:dyDescent="0.2">
      <c r="A1" s="764" t="s">
        <v>208</v>
      </c>
      <c r="B1" s="764" t="s">
        <v>253</v>
      </c>
      <c r="C1" s="782" t="s">
        <v>414</v>
      </c>
      <c r="D1" s="782" t="s">
        <v>43</v>
      </c>
      <c r="E1" s="763" t="s">
        <v>259</v>
      </c>
      <c r="F1" s="763"/>
      <c r="G1" s="763"/>
      <c r="H1" s="763"/>
      <c r="I1" s="763"/>
      <c r="J1" s="763"/>
      <c r="K1" s="763"/>
      <c r="L1" s="763"/>
      <c r="M1" s="764" t="s">
        <v>258</v>
      </c>
      <c r="N1" s="764" t="s">
        <v>312</v>
      </c>
    </row>
    <row r="2" spans="1:14" s="29" customFormat="1" ht="60" customHeight="1" x14ac:dyDescent="0.2">
      <c r="A2" s="764"/>
      <c r="B2" s="764"/>
      <c r="C2" s="783"/>
      <c r="D2" s="783"/>
      <c r="E2" s="728" t="s">
        <v>236</v>
      </c>
      <c r="F2" s="728" t="s">
        <v>332</v>
      </c>
      <c r="G2" s="728" t="s">
        <v>326</v>
      </c>
      <c r="H2" s="728" t="s">
        <v>144</v>
      </c>
      <c r="I2" s="728" t="s">
        <v>160</v>
      </c>
      <c r="J2" s="728" t="s">
        <v>150</v>
      </c>
      <c r="K2" s="728" t="s">
        <v>149</v>
      </c>
      <c r="L2" s="728" t="s">
        <v>145</v>
      </c>
      <c r="M2" s="784"/>
      <c r="N2" s="764"/>
    </row>
    <row r="3" spans="1:14" s="29" customFormat="1" ht="15" customHeight="1" x14ac:dyDescent="0.2">
      <c r="A3" s="740" t="s">
        <v>210</v>
      </c>
      <c r="B3" s="741" t="s">
        <v>255</v>
      </c>
      <c r="C3" s="737">
        <v>1665275</v>
      </c>
      <c r="D3" s="742">
        <f>46+[1]táj.4!L3</f>
        <v>41959</v>
      </c>
      <c r="E3" s="743">
        <f>1137836+[1]táj.4!C3</f>
        <v>1142445</v>
      </c>
      <c r="F3" s="743">
        <f>226818+[1]táj.4!D3</f>
        <v>227495</v>
      </c>
      <c r="G3" s="743">
        <f>222167+[1]táj.4!E3</f>
        <v>222532</v>
      </c>
      <c r="H3" s="743">
        <f>0+[1]táj.4!F3</f>
        <v>0</v>
      </c>
      <c r="I3" s="743">
        <f>0+[1]táj.4!G3</f>
        <v>36222</v>
      </c>
      <c r="J3" s="743">
        <f>67000+[1]táj.4!H3</f>
        <v>67040</v>
      </c>
      <c r="K3" s="743">
        <f>11500+[1]táj.4!I3</f>
        <v>11500</v>
      </c>
      <c r="L3" s="743">
        <f>0+[1]táj.4!J3</f>
        <v>0</v>
      </c>
      <c r="M3" s="743">
        <f>0+[1]táj.4!K3</f>
        <v>0</v>
      </c>
      <c r="N3" s="743">
        <f t="shared" ref="N3:N20" si="0">SUM(E3:M3)</f>
        <v>1707234</v>
      </c>
    </row>
    <row r="4" spans="1:14" s="29" customFormat="1" ht="15" customHeight="1" x14ac:dyDescent="0.2">
      <c r="A4" s="740" t="s">
        <v>212</v>
      </c>
      <c r="B4" s="741" t="s">
        <v>248</v>
      </c>
      <c r="C4" s="737">
        <v>1001336</v>
      </c>
      <c r="D4" s="742">
        <f>139+[1]táj.4!L4</f>
        <v>-10887</v>
      </c>
      <c r="E4" s="743">
        <f>133394+[1]táj.4!C4</f>
        <v>127694</v>
      </c>
      <c r="F4" s="743">
        <f>25194+[1]táj.4!D4</f>
        <v>24253</v>
      </c>
      <c r="G4" s="743">
        <f>840587+[1]táj.4!E4</f>
        <v>815305</v>
      </c>
      <c r="H4" s="743">
        <f>0+[1]táj.4!F4</f>
        <v>0</v>
      </c>
      <c r="I4" s="743">
        <f>300+[1]táj.4!G4</f>
        <v>20378</v>
      </c>
      <c r="J4" s="743">
        <f>2000+[1]táj.4!H4</f>
        <v>2819</v>
      </c>
      <c r="K4" s="743">
        <f>0+[1]táj.4!I4</f>
        <v>0</v>
      </c>
      <c r="L4" s="743">
        <f>0+[1]táj.4!J4</f>
        <v>0</v>
      </c>
      <c r="M4" s="743">
        <f>0+[1]táj.4!K4</f>
        <v>0</v>
      </c>
      <c r="N4" s="743">
        <f t="shared" si="0"/>
        <v>990449</v>
      </c>
    </row>
    <row r="5" spans="1:14" s="29" customFormat="1" ht="15" customHeight="1" x14ac:dyDescent="0.2">
      <c r="A5" s="740" t="s">
        <v>213</v>
      </c>
      <c r="B5" s="741" t="s">
        <v>281</v>
      </c>
      <c r="C5" s="737">
        <v>623845</v>
      </c>
      <c r="D5" s="742">
        <f>2935+[1]táj.4!L5</f>
        <v>1055</v>
      </c>
      <c r="E5" s="743">
        <f>413101+[1]táj.4!C5</f>
        <v>410769</v>
      </c>
      <c r="F5" s="743">
        <f>77251+[1]táj.4!D5</f>
        <v>76425</v>
      </c>
      <c r="G5" s="743">
        <f>134771+[1]táj.4!E5</f>
        <v>120483</v>
      </c>
      <c r="H5" s="743">
        <f>0+[1]táj.4!F5</f>
        <v>0</v>
      </c>
      <c r="I5" s="743">
        <f>200+[1]táj.4!G5</f>
        <v>12496</v>
      </c>
      <c r="J5" s="743">
        <f>1457+[1]táj.4!H5</f>
        <v>2927</v>
      </c>
      <c r="K5" s="743">
        <f>0+[1]táj.4!I5</f>
        <v>1800</v>
      </c>
      <c r="L5" s="743">
        <f>0+[1]táj.4!J5</f>
        <v>0</v>
      </c>
      <c r="M5" s="743">
        <f>0+[1]táj.4!K5</f>
        <v>0</v>
      </c>
      <c r="N5" s="743">
        <f t="shared" si="0"/>
        <v>624900</v>
      </c>
    </row>
    <row r="6" spans="1:14" s="29" customFormat="1" ht="23.25" customHeight="1" x14ac:dyDescent="0.2">
      <c r="A6" s="740" t="s">
        <v>201</v>
      </c>
      <c r="B6" s="499" t="s">
        <v>316</v>
      </c>
      <c r="C6" s="738">
        <v>448613</v>
      </c>
      <c r="D6" s="742">
        <f>1144+[1]táj.4!L6</f>
        <v>111456</v>
      </c>
      <c r="E6" s="743">
        <f>257864+[1]táj.4!C6</f>
        <v>304619</v>
      </c>
      <c r="F6" s="743">
        <f>48518+[1]táj.4!D6</f>
        <v>56682</v>
      </c>
      <c r="G6" s="743">
        <f>140813+[1]táj.4!E6</f>
        <v>189966</v>
      </c>
      <c r="H6" s="743">
        <f>0+[1]táj.4!F6</f>
        <v>0</v>
      </c>
      <c r="I6" s="743">
        <f>0+[1]táj.4!G6</f>
        <v>0</v>
      </c>
      <c r="J6" s="743">
        <f>2562+[1]táj.4!H6</f>
        <v>8802</v>
      </c>
      <c r="K6" s="743">
        <f>0+[1]táj.4!I6</f>
        <v>0</v>
      </c>
      <c r="L6" s="743">
        <f>0+[1]táj.4!J6</f>
        <v>0</v>
      </c>
      <c r="M6" s="743">
        <f>0+[1]táj.4!K6</f>
        <v>0</v>
      </c>
      <c r="N6" s="743">
        <f t="shared" si="0"/>
        <v>560069</v>
      </c>
    </row>
    <row r="7" spans="1:14" s="29" customFormat="1" ht="26.25" customHeight="1" x14ac:dyDescent="0.2">
      <c r="A7" s="740" t="s">
        <v>200</v>
      </c>
      <c r="B7" s="499" t="s">
        <v>317</v>
      </c>
      <c r="C7" s="738">
        <v>220399</v>
      </c>
      <c r="D7" s="742">
        <f>15142+[1]táj.4!L7</f>
        <v>42307</v>
      </c>
      <c r="E7" s="743">
        <f>174537+[1]táj.4!C7</f>
        <v>182313</v>
      </c>
      <c r="F7" s="743">
        <f>34489+[1]táj.4!D7</f>
        <v>35850</v>
      </c>
      <c r="G7" s="743">
        <f>22615+[1]táj.4!E7</f>
        <v>22633</v>
      </c>
      <c r="H7" s="743">
        <f>3400+[1]táj.4!F7</f>
        <v>5188</v>
      </c>
      <c r="I7" s="743">
        <f>0+[1]táj.4!G7</f>
        <v>16222</v>
      </c>
      <c r="J7" s="743">
        <f>500+[1]táj.4!H7</f>
        <v>500</v>
      </c>
      <c r="K7" s="743">
        <f>0+[1]táj.4!I7</f>
        <v>0</v>
      </c>
      <c r="L7" s="743">
        <f>0+[1]táj.4!J7</f>
        <v>0</v>
      </c>
      <c r="M7" s="743">
        <f>0+[1]táj.4!K7</f>
        <v>0</v>
      </c>
      <c r="N7" s="743">
        <f t="shared" si="0"/>
        <v>262706</v>
      </c>
    </row>
    <row r="8" spans="1:14" s="29" customFormat="1" ht="15" customHeight="1" x14ac:dyDescent="0.2">
      <c r="A8" s="740" t="s">
        <v>202</v>
      </c>
      <c r="B8" s="66" t="s">
        <v>282</v>
      </c>
      <c r="C8" s="377">
        <v>357792</v>
      </c>
      <c r="D8" s="742">
        <f>2+[1]táj.4!L8</f>
        <v>-10960</v>
      </c>
      <c r="E8" s="743">
        <f>251813+[1]táj.4!C8</f>
        <v>243920</v>
      </c>
      <c r="F8" s="743">
        <f>46894+[1]táj.4!D8</f>
        <v>45657</v>
      </c>
      <c r="G8" s="743">
        <f>58487+[1]táj.4!E8</f>
        <v>54816</v>
      </c>
      <c r="H8" s="743">
        <f>0+[1]táj.4!F8</f>
        <v>0</v>
      </c>
      <c r="I8" s="743">
        <f>100+[1]táj.4!G8</f>
        <v>1169</v>
      </c>
      <c r="J8" s="743">
        <f>500+[1]táj.4!H8</f>
        <v>500</v>
      </c>
      <c r="K8" s="743">
        <f>0+[1]táj.4!I8</f>
        <v>770</v>
      </c>
      <c r="L8" s="743">
        <f>0+[1]táj.4!J8</f>
        <v>0</v>
      </c>
      <c r="M8" s="743">
        <f>0+[1]táj.4!K8</f>
        <v>0</v>
      </c>
      <c r="N8" s="743">
        <f t="shared" si="0"/>
        <v>346832</v>
      </c>
    </row>
    <row r="9" spans="1:14" s="29" customFormat="1" ht="15" customHeight="1" x14ac:dyDescent="0.2">
      <c r="A9" s="740" t="s">
        <v>203</v>
      </c>
      <c r="B9" s="66" t="s">
        <v>283</v>
      </c>
      <c r="C9" s="377">
        <v>335626</v>
      </c>
      <c r="D9" s="742">
        <f>10+[1]táj.4!L9</f>
        <v>-18246</v>
      </c>
      <c r="E9" s="743">
        <f>212997+[1]táj.4!C9</f>
        <v>204680</v>
      </c>
      <c r="F9" s="743">
        <f>39564+[1]táj.4!D9</f>
        <v>38224</v>
      </c>
      <c r="G9" s="743">
        <f>82475+[1]táj.4!E9</f>
        <v>73876</v>
      </c>
      <c r="H9" s="743">
        <f>0+[1]táj.4!F9</f>
        <v>0</v>
      </c>
      <c r="I9" s="743">
        <f>100+[1]táj.4!G9</f>
        <v>100</v>
      </c>
      <c r="J9" s="743">
        <f>500+[1]táj.4!H9</f>
        <v>500</v>
      </c>
      <c r="K9" s="743">
        <f>0+[1]táj.4!I9</f>
        <v>0</v>
      </c>
      <c r="L9" s="743">
        <f>0+[1]táj.4!J9</f>
        <v>0</v>
      </c>
      <c r="M9" s="743">
        <f>0+[1]táj.4!K9</f>
        <v>0</v>
      </c>
      <c r="N9" s="743">
        <f t="shared" si="0"/>
        <v>317380</v>
      </c>
    </row>
    <row r="10" spans="1:14" s="19" customFormat="1" ht="15" customHeight="1" x14ac:dyDescent="0.2">
      <c r="A10" s="740" t="s">
        <v>204</v>
      </c>
      <c r="B10" s="66" t="s">
        <v>284</v>
      </c>
      <c r="C10" s="377">
        <v>380243</v>
      </c>
      <c r="D10" s="742">
        <f>16+[1]táj.4!L10</f>
        <v>-7269</v>
      </c>
      <c r="E10" s="743">
        <f>238253+[1]táj.4!C10</f>
        <v>237555</v>
      </c>
      <c r="F10" s="743">
        <f>44444+[1]táj.4!D10</f>
        <v>44373</v>
      </c>
      <c r="G10" s="743">
        <f>96962+[1]táj.4!E10</f>
        <v>86194</v>
      </c>
      <c r="H10" s="743">
        <f>0+[1]táj.4!F10</f>
        <v>0</v>
      </c>
      <c r="I10" s="743">
        <f>100+[1]táj.4!G10</f>
        <v>3052</v>
      </c>
      <c r="J10" s="743">
        <f>500+[1]táj.4!H10</f>
        <v>800</v>
      </c>
      <c r="K10" s="743">
        <f>0+[1]táj.4!I10</f>
        <v>1000</v>
      </c>
      <c r="L10" s="743">
        <f>0+[1]táj.4!J10</f>
        <v>0</v>
      </c>
      <c r="M10" s="743">
        <f>0+[1]táj.4!K10</f>
        <v>0</v>
      </c>
      <c r="N10" s="743">
        <f t="shared" si="0"/>
        <v>372974</v>
      </c>
    </row>
    <row r="11" spans="1:14" s="19" customFormat="1" ht="17.25" customHeight="1" x14ac:dyDescent="0.2">
      <c r="A11" s="740" t="s">
        <v>151</v>
      </c>
      <c r="B11" s="66" t="s">
        <v>285</v>
      </c>
      <c r="C11" s="377">
        <v>341686</v>
      </c>
      <c r="D11" s="742">
        <f>22+[1]táj.4!L11</f>
        <v>-10516</v>
      </c>
      <c r="E11" s="743">
        <f>231071+[1]táj.4!C11</f>
        <v>225259</v>
      </c>
      <c r="F11" s="743">
        <f>43137+[1]táj.4!D11</f>
        <v>42271</v>
      </c>
      <c r="G11" s="743">
        <f>66900+[1]táj.4!E11</f>
        <v>59718</v>
      </c>
      <c r="H11" s="743">
        <f>0+[1]táj.4!F11</f>
        <v>0</v>
      </c>
      <c r="I11" s="743">
        <f>100+[1]táj.4!G11</f>
        <v>2772</v>
      </c>
      <c r="J11" s="743">
        <f>500+[1]táj.4!H11</f>
        <v>750</v>
      </c>
      <c r="K11" s="743">
        <f>0+[1]táj.4!I11</f>
        <v>400</v>
      </c>
      <c r="L11" s="743">
        <f>0+[1]táj.4!J11</f>
        <v>0</v>
      </c>
      <c r="M11" s="743">
        <f>0+[1]táj.4!K11</f>
        <v>0</v>
      </c>
      <c r="N11" s="743">
        <f t="shared" si="0"/>
        <v>331170</v>
      </c>
    </row>
    <row r="12" spans="1:14" s="19" customFormat="1" ht="18.75" customHeight="1" x14ac:dyDescent="0.2">
      <c r="A12" s="740" t="s">
        <v>152</v>
      </c>
      <c r="B12" s="66" t="s">
        <v>318</v>
      </c>
      <c r="C12" s="377">
        <v>53217</v>
      </c>
      <c r="D12" s="742">
        <f>31+[1]táj.4!L12</f>
        <v>600</v>
      </c>
      <c r="E12" s="743">
        <f>43170+[1]táj.4!C12</f>
        <v>43016</v>
      </c>
      <c r="F12" s="743">
        <f>7464+[1]táj.4!D12</f>
        <v>7426</v>
      </c>
      <c r="G12" s="743">
        <f>2564+[1]táj.4!E12</f>
        <v>2264</v>
      </c>
      <c r="H12" s="743">
        <f>0+[1]táj.4!F12</f>
        <v>0</v>
      </c>
      <c r="I12" s="743">
        <f>0+[1]táj.4!G12</f>
        <v>1061</v>
      </c>
      <c r="J12" s="743">
        <f>50+[1]táj.4!H12</f>
        <v>50</v>
      </c>
      <c r="K12" s="743">
        <f>0+[1]táj.4!I12</f>
        <v>0</v>
      </c>
      <c r="L12" s="743">
        <f>0+[1]táj.4!J12</f>
        <v>0</v>
      </c>
      <c r="M12" s="743">
        <f>0+[1]táj.4!K12</f>
        <v>0</v>
      </c>
      <c r="N12" s="743">
        <f t="shared" si="0"/>
        <v>53817</v>
      </c>
    </row>
    <row r="13" spans="1:14" s="19" customFormat="1" ht="14.1" customHeight="1" x14ac:dyDescent="0.2">
      <c r="A13" s="740" t="s">
        <v>153</v>
      </c>
      <c r="B13" s="500" t="s">
        <v>278</v>
      </c>
      <c r="C13" s="739">
        <v>484066</v>
      </c>
      <c r="D13" s="742">
        <f>3872+[1]táj.4!L13</f>
        <v>37961</v>
      </c>
      <c r="E13" s="743">
        <f>205189+[1]táj.4!C13</f>
        <v>247314</v>
      </c>
      <c r="F13" s="743">
        <f>36284+[1]táj.4!D13</f>
        <v>44482</v>
      </c>
      <c r="G13" s="743">
        <f>197019+[1]táj.4!E13</f>
        <v>175564</v>
      </c>
      <c r="H13" s="743">
        <f>0+[1]táj.4!F13</f>
        <v>0</v>
      </c>
      <c r="I13" s="743">
        <f>0+[1]táj.4!G13</f>
        <v>5221</v>
      </c>
      <c r="J13" s="743">
        <f>19820+[1]táj.4!H13</f>
        <v>19820</v>
      </c>
      <c r="K13" s="743">
        <f>29626+[1]táj.4!I13</f>
        <v>29626</v>
      </c>
      <c r="L13" s="743">
        <f>0+[1]táj.4!J13</f>
        <v>0</v>
      </c>
      <c r="M13" s="743">
        <f>0+[1]táj.4!K13</f>
        <v>0</v>
      </c>
      <c r="N13" s="743">
        <f t="shared" si="0"/>
        <v>522027</v>
      </c>
    </row>
    <row r="14" spans="1:14" s="19" customFormat="1" ht="24.75" customHeight="1" x14ac:dyDescent="0.2">
      <c r="A14" s="740" t="s">
        <v>154</v>
      </c>
      <c r="B14" s="499" t="s">
        <v>286</v>
      </c>
      <c r="C14" s="738">
        <v>20958</v>
      </c>
      <c r="D14" s="742">
        <f>0+[1]táj.4!L14</f>
        <v>2772</v>
      </c>
      <c r="E14" s="743">
        <f>15250+[1]táj.4!C14</f>
        <v>14961</v>
      </c>
      <c r="F14" s="743">
        <f>2616+[1]táj.4!D14</f>
        <v>2561</v>
      </c>
      <c r="G14" s="743">
        <f>3012+[1]táj.4!E14</f>
        <v>5367</v>
      </c>
      <c r="H14" s="743">
        <f>0+[1]táj.4!F14</f>
        <v>0</v>
      </c>
      <c r="I14" s="743">
        <f>0+[1]táj.4!G14</f>
        <v>661</v>
      </c>
      <c r="J14" s="743">
        <f>80+[1]táj.4!H14</f>
        <v>180</v>
      </c>
      <c r="K14" s="743">
        <f>0+[1]táj.4!I14</f>
        <v>0</v>
      </c>
      <c r="L14" s="743">
        <f>0+[1]táj.4!J14</f>
        <v>0</v>
      </c>
      <c r="M14" s="743">
        <f>0+[1]táj.4!K14</f>
        <v>0</v>
      </c>
      <c r="N14" s="743">
        <f t="shared" si="0"/>
        <v>23730</v>
      </c>
    </row>
    <row r="15" spans="1:14" s="19" customFormat="1" ht="14.1" customHeight="1" x14ac:dyDescent="0.2">
      <c r="A15" s="740" t="s">
        <v>155</v>
      </c>
      <c r="B15" s="66" t="s">
        <v>279</v>
      </c>
      <c r="C15" s="377">
        <v>418501</v>
      </c>
      <c r="D15" s="742">
        <f>4023+[1]táj.4!L15</f>
        <v>28271</v>
      </c>
      <c r="E15" s="743">
        <f>184238+[1]táj.4!C15</f>
        <v>187959</v>
      </c>
      <c r="F15" s="743">
        <f>31736+[1]táj.4!D15</f>
        <v>32361</v>
      </c>
      <c r="G15" s="743">
        <f>147550+[1]táj.4!E15</f>
        <v>149137</v>
      </c>
      <c r="H15" s="743">
        <f>0+[1]táj.4!F15</f>
        <v>0</v>
      </c>
      <c r="I15" s="743">
        <f>18000+[1]táj.4!G15</f>
        <v>35087</v>
      </c>
      <c r="J15" s="743">
        <f>39000+[1]táj.4!H15</f>
        <v>39774</v>
      </c>
      <c r="K15" s="743">
        <f>2000+[1]táj.4!I15</f>
        <v>2454</v>
      </c>
      <c r="L15" s="743">
        <f>0+[1]táj.4!J15</f>
        <v>0</v>
      </c>
      <c r="M15" s="743">
        <f>0+[1]táj.4!K15</f>
        <v>0</v>
      </c>
      <c r="N15" s="743">
        <f t="shared" si="0"/>
        <v>446772</v>
      </c>
    </row>
    <row r="16" spans="1:14" s="19" customFormat="1" ht="14.1" customHeight="1" x14ac:dyDescent="0.2">
      <c r="A16" s="740" t="s">
        <v>156</v>
      </c>
      <c r="B16" s="66" t="s">
        <v>280</v>
      </c>
      <c r="C16" s="377">
        <v>359221</v>
      </c>
      <c r="D16" s="742">
        <f>3196+[1]táj.4!L16</f>
        <v>74746</v>
      </c>
      <c r="E16" s="743">
        <f>167268+[1]táj.4!C16</f>
        <v>177351</v>
      </c>
      <c r="F16" s="743">
        <f>29863+[1]táj.4!D16</f>
        <v>31703</v>
      </c>
      <c r="G16" s="743">
        <f>110138+[1]táj.4!E16</f>
        <v>162405</v>
      </c>
      <c r="H16" s="743">
        <f>0+[1]táj.4!F16</f>
        <v>0</v>
      </c>
      <c r="I16" s="743">
        <f>42212+[1]táj.4!G16</f>
        <v>43394</v>
      </c>
      <c r="J16" s="743">
        <f>12936+[1]táj.4!H16</f>
        <v>14114</v>
      </c>
      <c r="K16" s="743">
        <f>0+[1]táj.4!I16</f>
        <v>5000</v>
      </c>
      <c r="L16" s="743">
        <f>0+[1]táj.4!J16</f>
        <v>0</v>
      </c>
      <c r="M16" s="743">
        <f>0+[1]táj.4!K16</f>
        <v>0</v>
      </c>
      <c r="N16" s="743">
        <f t="shared" si="0"/>
        <v>433967</v>
      </c>
    </row>
    <row r="17" spans="1:14" s="19" customFormat="1" ht="12.95" customHeight="1" x14ac:dyDescent="0.2">
      <c r="A17" s="740" t="s">
        <v>205</v>
      </c>
      <c r="B17" s="66" t="s">
        <v>287</v>
      </c>
      <c r="C17" s="377">
        <v>754770</v>
      </c>
      <c r="D17" s="742">
        <f>5939+[1]táj.4!L17</f>
        <v>-70767</v>
      </c>
      <c r="E17" s="743">
        <f>419993+[1]táj.4!C17</f>
        <v>408367</v>
      </c>
      <c r="F17" s="743">
        <f>79257+[1]táj.4!D17</f>
        <v>77915</v>
      </c>
      <c r="G17" s="743">
        <f>253459+[1]táj.4!E17</f>
        <v>187672</v>
      </c>
      <c r="H17" s="743">
        <f>0+[1]táj.4!F17</f>
        <v>0</v>
      </c>
      <c r="I17" s="743">
        <f>0+[1]táj.4!G17</f>
        <v>2049</v>
      </c>
      <c r="J17" s="743">
        <f>8000+[1]táj.4!H17</f>
        <v>8000</v>
      </c>
      <c r="K17" s="743">
        <f>0+[1]táj.4!I17</f>
        <v>0</v>
      </c>
      <c r="L17" s="743">
        <f>0+[1]táj.4!J17</f>
        <v>0</v>
      </c>
      <c r="M17" s="743">
        <f>0+[1]táj.4!K17</f>
        <v>0</v>
      </c>
      <c r="N17" s="743">
        <f t="shared" si="0"/>
        <v>684003</v>
      </c>
    </row>
    <row r="18" spans="1:14" s="19" customFormat="1" ht="12.95" customHeight="1" x14ac:dyDescent="0.2">
      <c r="A18" s="740" t="s">
        <v>157</v>
      </c>
      <c r="B18" s="66" t="s">
        <v>288</v>
      </c>
      <c r="C18" s="377">
        <v>136750</v>
      </c>
      <c r="D18" s="742">
        <f>903+[1]táj.4!L18</f>
        <v>-3584</v>
      </c>
      <c r="E18" s="743">
        <f>65365+[1]táj.4!C18</f>
        <v>64093</v>
      </c>
      <c r="F18" s="743">
        <f>12088+[1]táj.4!D18</f>
        <v>12057</v>
      </c>
      <c r="G18" s="743">
        <f>56700+[1]táj.4!E18</f>
        <v>53094</v>
      </c>
      <c r="H18" s="743">
        <f>0+[1]táj.4!F18</f>
        <v>0</v>
      </c>
      <c r="I18" s="743">
        <f>0+[1]táj.4!G18</f>
        <v>422</v>
      </c>
      <c r="J18" s="743">
        <f>3500+[1]táj.4!H18</f>
        <v>3500</v>
      </c>
      <c r="K18" s="743">
        <f>0+[1]táj.4!I18</f>
        <v>0</v>
      </c>
      <c r="L18" s="743">
        <f>0+[1]táj.4!J18</f>
        <v>0</v>
      </c>
      <c r="M18" s="743">
        <f>0+[1]táj.4!K18</f>
        <v>0</v>
      </c>
      <c r="N18" s="743">
        <f t="shared" si="0"/>
        <v>133166</v>
      </c>
    </row>
    <row r="19" spans="1:14" s="19" customFormat="1" ht="15.75" customHeight="1" x14ac:dyDescent="0.2">
      <c r="A19" s="740" t="s">
        <v>158</v>
      </c>
      <c r="B19" s="66" t="s">
        <v>320</v>
      </c>
      <c r="C19" s="377">
        <v>145282</v>
      </c>
      <c r="D19" s="742">
        <f>12+[1]táj.4!L19</f>
        <v>16840</v>
      </c>
      <c r="E19" s="743">
        <f>67295+[1]táj.4!C19</f>
        <v>60301</v>
      </c>
      <c r="F19" s="743">
        <f>11728+[1]táj.4!D19</f>
        <v>10729</v>
      </c>
      <c r="G19" s="743">
        <f>62651+[1]táj.4!E19</f>
        <v>77651</v>
      </c>
      <c r="H19" s="743">
        <f>0+[1]táj.4!F19</f>
        <v>0</v>
      </c>
      <c r="I19" s="743">
        <f>0+[1]táj.4!G19</f>
        <v>9821</v>
      </c>
      <c r="J19" s="743">
        <f>3620+[1]táj.4!H19</f>
        <v>3620</v>
      </c>
      <c r="K19" s="743">
        <f>0+[1]táj.4!I19</f>
        <v>0</v>
      </c>
      <c r="L19" s="743">
        <f>0+[1]táj.4!J19</f>
        <v>0</v>
      </c>
      <c r="M19" s="743">
        <f>0+[1]táj.4!K19</f>
        <v>0</v>
      </c>
      <c r="N19" s="743">
        <f t="shared" si="0"/>
        <v>162122</v>
      </c>
    </row>
    <row r="20" spans="1:14" s="1" customFormat="1" x14ac:dyDescent="0.2">
      <c r="A20" s="740" t="s">
        <v>319</v>
      </c>
      <c r="B20" s="66" t="s">
        <v>325</v>
      </c>
      <c r="C20" s="377">
        <v>108439</v>
      </c>
      <c r="D20" s="742">
        <f>0+[1]táj.4!L20</f>
        <v>-274</v>
      </c>
      <c r="E20" s="743">
        <f>39596+[1]táj.4!C20</f>
        <v>39894</v>
      </c>
      <c r="F20" s="743">
        <f>7323+[1]táj.4!D20</f>
        <v>7375</v>
      </c>
      <c r="G20" s="743">
        <f>59400+[1]táj.4!E20</f>
        <v>59400</v>
      </c>
      <c r="H20" s="743">
        <f>0+[1]táj.4!F20</f>
        <v>0</v>
      </c>
      <c r="I20" s="743">
        <f>100+[1]táj.4!G20</f>
        <v>100</v>
      </c>
      <c r="J20" s="743">
        <f>1020+[1]táj.4!H20</f>
        <v>1020</v>
      </c>
      <c r="K20" s="743">
        <f>1000+[1]táj.4!I20</f>
        <v>376</v>
      </c>
      <c r="L20" s="743">
        <f>0+[1]táj.4!J20</f>
        <v>0</v>
      </c>
      <c r="M20" s="743">
        <f>0+[1]táj.4!K20</f>
        <v>0</v>
      </c>
      <c r="N20" s="743">
        <f t="shared" si="0"/>
        <v>108165</v>
      </c>
    </row>
    <row r="21" spans="1:14" s="1" customFormat="1" x14ac:dyDescent="0.2">
      <c r="A21" s="729"/>
      <c r="B21" s="71" t="s">
        <v>140</v>
      </c>
      <c r="C21" s="648">
        <f>SUM(C3:C20)</f>
        <v>7856019</v>
      </c>
      <c r="D21" s="648">
        <f>SUM(D3:D20)</f>
        <v>225464</v>
      </c>
      <c r="E21" s="648">
        <f t="shared" ref="E21:N21" si="1">SUM(E3:E20)</f>
        <v>4322510</v>
      </c>
      <c r="F21" s="648">
        <f t="shared" si="1"/>
        <v>817839</v>
      </c>
      <c r="G21" s="648">
        <f t="shared" si="1"/>
        <v>2518077</v>
      </c>
      <c r="H21" s="648">
        <f t="shared" si="1"/>
        <v>5188</v>
      </c>
      <c r="I21" s="648">
        <f t="shared" si="1"/>
        <v>190227</v>
      </c>
      <c r="J21" s="648">
        <f t="shared" si="1"/>
        <v>174716</v>
      </c>
      <c r="K21" s="648">
        <f t="shared" si="1"/>
        <v>52926</v>
      </c>
      <c r="L21" s="648">
        <f t="shared" si="1"/>
        <v>0</v>
      </c>
      <c r="M21" s="648">
        <f t="shared" si="1"/>
        <v>0</v>
      </c>
      <c r="N21" s="648">
        <f t="shared" si="1"/>
        <v>8081483</v>
      </c>
    </row>
    <row r="22" spans="1:14" s="1" customFormat="1" x14ac:dyDescent="0.2"/>
    <row r="23" spans="1:14" s="1" customFormat="1" x14ac:dyDescent="0.2"/>
    <row r="24" spans="1:14" s="1" customFormat="1" x14ac:dyDescent="0.2"/>
    <row r="25" spans="1:14" s="1" customFormat="1" x14ac:dyDescent="0.2"/>
    <row r="26" spans="1:14" s="1" customFormat="1" x14ac:dyDescent="0.2"/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horizontalDpi="300" verticalDpi="300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workbookViewId="0">
      <selection activeCell="B10" sqref="B10"/>
    </sheetView>
  </sheetViews>
  <sheetFormatPr defaultRowHeight="12.75" x14ac:dyDescent="0.2"/>
  <cols>
    <col min="1" max="1" width="7.33203125" style="83" customWidth="1"/>
    <col min="2" max="2" width="33.83203125" style="83" customWidth="1"/>
    <col min="3" max="3" width="9.83203125" style="83" customWidth="1"/>
    <col min="4" max="4" width="7.6640625" style="83" customWidth="1"/>
    <col min="5" max="5" width="10" style="83" customWidth="1"/>
    <col min="6" max="8" width="11.5" style="83" customWidth="1"/>
    <col min="9" max="9" width="10.5" style="83" customWidth="1"/>
    <col min="10" max="10" width="11" style="83" customWidth="1"/>
    <col min="11" max="11" width="11.6640625" style="83" customWidth="1"/>
    <col min="12" max="12" width="11" style="83" customWidth="1"/>
    <col min="13" max="13" width="11.5" style="83" customWidth="1"/>
    <col min="14" max="14" width="10.6640625" style="83" customWidth="1"/>
    <col min="15" max="15" width="12.83203125" style="83" customWidth="1"/>
    <col min="16" max="16384" width="9.33203125" style="83"/>
  </cols>
  <sheetData>
    <row r="1" spans="1:15" s="72" customFormat="1" ht="14.1" customHeight="1" thickBot="1" x14ac:dyDescent="0.25">
      <c r="A1" s="789"/>
      <c r="B1" s="790" t="s">
        <v>253</v>
      </c>
      <c r="C1" s="787" t="s">
        <v>161</v>
      </c>
      <c r="D1" s="787" t="s">
        <v>162</v>
      </c>
      <c r="E1" s="787" t="s">
        <v>404</v>
      </c>
      <c r="F1" s="788" t="s">
        <v>163</v>
      </c>
      <c r="G1" s="788"/>
      <c r="H1" s="788"/>
      <c r="I1" s="785" t="s">
        <v>168</v>
      </c>
      <c r="J1" s="785"/>
      <c r="K1" s="785" t="s">
        <v>238</v>
      </c>
      <c r="L1" s="785"/>
      <c r="M1" s="785" t="s">
        <v>412</v>
      </c>
      <c r="N1" s="785"/>
      <c r="O1" s="786" t="s">
        <v>169</v>
      </c>
    </row>
    <row r="2" spans="1:15" s="72" customFormat="1" ht="60.75" customHeight="1" thickBot="1" x14ac:dyDescent="0.25">
      <c r="A2" s="789"/>
      <c r="B2" s="791"/>
      <c r="C2" s="787"/>
      <c r="D2" s="787"/>
      <c r="E2" s="787"/>
      <c r="F2" s="73" t="s">
        <v>409</v>
      </c>
      <c r="G2" s="74" t="s">
        <v>410</v>
      </c>
      <c r="H2" s="75" t="s">
        <v>411</v>
      </c>
      <c r="I2" s="76" t="s">
        <v>170</v>
      </c>
      <c r="J2" s="77" t="s">
        <v>171</v>
      </c>
      <c r="K2" s="76" t="s">
        <v>172</v>
      </c>
      <c r="L2" s="77" t="s">
        <v>171</v>
      </c>
      <c r="M2" s="76" t="s">
        <v>172</v>
      </c>
      <c r="N2" s="77" t="s">
        <v>171</v>
      </c>
      <c r="O2" s="786"/>
    </row>
    <row r="3" spans="1:15" ht="39.950000000000003" customHeight="1" x14ac:dyDescent="0.2">
      <c r="A3" s="78" t="s">
        <v>211</v>
      </c>
      <c r="B3" s="79" t="s">
        <v>173</v>
      </c>
      <c r="C3" s="80" t="s">
        <v>174</v>
      </c>
      <c r="D3" s="81" t="s">
        <v>175</v>
      </c>
      <c r="E3" s="82">
        <v>211638</v>
      </c>
      <c r="F3" s="109">
        <v>195961</v>
      </c>
      <c r="G3" s="109"/>
      <c r="H3" s="109"/>
      <c r="I3" s="109">
        <v>10452</v>
      </c>
      <c r="J3" s="109">
        <v>5760</v>
      </c>
      <c r="K3" s="109">
        <v>10452</v>
      </c>
      <c r="L3" s="109">
        <v>5448</v>
      </c>
      <c r="M3" s="109">
        <v>10452</v>
      </c>
      <c r="N3" s="109">
        <v>5132</v>
      </c>
      <c r="O3" s="109">
        <v>164605</v>
      </c>
    </row>
    <row r="4" spans="1:15" ht="39.950000000000003" customHeight="1" x14ac:dyDescent="0.2">
      <c r="A4" s="78" t="s">
        <v>210</v>
      </c>
      <c r="B4" s="79" t="s">
        <v>176</v>
      </c>
      <c r="C4" s="84" t="s">
        <v>174</v>
      </c>
      <c r="D4" s="84" t="s">
        <v>177</v>
      </c>
      <c r="E4" s="82">
        <v>7182</v>
      </c>
      <c r="F4" s="109">
        <v>2382</v>
      </c>
      <c r="G4" s="109"/>
      <c r="H4" s="109"/>
      <c r="I4" s="109">
        <v>1200</v>
      </c>
      <c r="J4" s="109">
        <v>56</v>
      </c>
      <c r="K4" s="109">
        <v>1182</v>
      </c>
      <c r="L4" s="109">
        <v>20</v>
      </c>
      <c r="M4" s="109"/>
      <c r="N4" s="109"/>
      <c r="O4" s="109">
        <v>0</v>
      </c>
    </row>
    <row r="5" spans="1:15" ht="39.950000000000003" customHeight="1" x14ac:dyDescent="0.2">
      <c r="A5" s="78" t="s">
        <v>212</v>
      </c>
      <c r="B5" s="79" t="s">
        <v>178</v>
      </c>
      <c r="C5" s="84" t="s">
        <v>174</v>
      </c>
      <c r="D5" s="84" t="s">
        <v>179</v>
      </c>
      <c r="E5" s="82">
        <v>950000</v>
      </c>
      <c r="F5" s="109">
        <v>884500</v>
      </c>
      <c r="G5" s="109"/>
      <c r="H5" s="109"/>
      <c r="I5" s="109">
        <v>52400</v>
      </c>
      <c r="J5" s="109">
        <v>12974</v>
      </c>
      <c r="K5" s="109">
        <v>52400</v>
      </c>
      <c r="L5" s="109">
        <v>12187</v>
      </c>
      <c r="M5" s="109">
        <v>52400</v>
      </c>
      <c r="N5" s="109">
        <v>11400</v>
      </c>
      <c r="O5" s="109">
        <v>727300</v>
      </c>
    </row>
    <row r="6" spans="1:15" ht="39.950000000000003" customHeight="1" x14ac:dyDescent="0.2">
      <c r="A6" s="78" t="s">
        <v>213</v>
      </c>
      <c r="B6" s="79" t="s">
        <v>125</v>
      </c>
      <c r="C6" s="84" t="s">
        <v>174</v>
      </c>
      <c r="D6" s="84" t="s">
        <v>180</v>
      </c>
      <c r="E6" s="82">
        <v>100000</v>
      </c>
      <c r="F6" s="109">
        <v>97417</v>
      </c>
      <c r="G6" s="109"/>
      <c r="H6" s="109"/>
      <c r="I6" s="109">
        <v>10000</v>
      </c>
      <c r="J6" s="109">
        <v>1126</v>
      </c>
      <c r="K6" s="109">
        <v>10000</v>
      </c>
      <c r="L6" s="109">
        <v>1006</v>
      </c>
      <c r="M6" s="109">
        <v>10000</v>
      </c>
      <c r="N6" s="109">
        <v>886</v>
      </c>
      <c r="O6" s="109">
        <v>67417</v>
      </c>
    </row>
    <row r="7" spans="1:15" ht="39.950000000000003" customHeight="1" x14ac:dyDescent="0.2">
      <c r="A7" s="78" t="s">
        <v>201</v>
      </c>
      <c r="B7" s="79" t="s">
        <v>181</v>
      </c>
      <c r="C7" s="84" t="s">
        <v>174</v>
      </c>
      <c r="D7" s="84" t="s">
        <v>182</v>
      </c>
      <c r="E7" s="82">
        <v>240000</v>
      </c>
      <c r="F7" s="109">
        <v>232500</v>
      </c>
      <c r="G7" s="109"/>
      <c r="H7" s="109"/>
      <c r="I7" s="109">
        <v>30000</v>
      </c>
      <c r="J7" s="109">
        <v>2302</v>
      </c>
      <c r="K7" s="109">
        <v>30000</v>
      </c>
      <c r="L7" s="109">
        <v>1990</v>
      </c>
      <c r="M7" s="109">
        <v>30000</v>
      </c>
      <c r="N7" s="109">
        <v>1532</v>
      </c>
      <c r="O7" s="109">
        <v>142500</v>
      </c>
    </row>
    <row r="8" spans="1:15" ht="51.75" customHeight="1" x14ac:dyDescent="0.2">
      <c r="A8" s="78" t="s">
        <v>200</v>
      </c>
      <c r="B8" s="79" t="s">
        <v>405</v>
      </c>
      <c r="C8" s="84" t="s">
        <v>174</v>
      </c>
      <c r="D8" s="84" t="s">
        <v>406</v>
      </c>
      <c r="E8" s="82">
        <v>150000</v>
      </c>
      <c r="F8" s="109"/>
      <c r="G8" s="109"/>
      <c r="H8" s="109">
        <v>150000</v>
      </c>
      <c r="I8" s="109"/>
      <c r="J8" s="109">
        <v>3249</v>
      </c>
      <c r="K8" s="109">
        <v>7500</v>
      </c>
      <c r="L8" s="109">
        <v>4140</v>
      </c>
      <c r="M8" s="109">
        <v>15000</v>
      </c>
      <c r="N8" s="109">
        <v>3745</v>
      </c>
      <c r="O8" s="109">
        <v>127500</v>
      </c>
    </row>
    <row r="9" spans="1:15" ht="28.5" customHeight="1" x14ac:dyDescent="0.2">
      <c r="A9" s="110"/>
      <c r="B9" s="111" t="s">
        <v>407</v>
      </c>
      <c r="C9" s="112"/>
      <c r="D9" s="112"/>
      <c r="E9" s="113">
        <f>SUM(E3:E8)</f>
        <v>1658820</v>
      </c>
      <c r="F9" s="113">
        <f t="shared" ref="F9:O9" si="0">SUM(F3:F8)</f>
        <v>1412760</v>
      </c>
      <c r="G9" s="113">
        <f t="shared" si="0"/>
        <v>0</v>
      </c>
      <c r="H9" s="113">
        <f t="shared" si="0"/>
        <v>150000</v>
      </c>
      <c r="I9" s="113">
        <f t="shared" si="0"/>
        <v>104052</v>
      </c>
      <c r="J9" s="113">
        <f t="shared" si="0"/>
        <v>25467</v>
      </c>
      <c r="K9" s="113">
        <f t="shared" si="0"/>
        <v>111534</v>
      </c>
      <c r="L9" s="113">
        <f t="shared" si="0"/>
        <v>24791</v>
      </c>
      <c r="M9" s="113">
        <f t="shared" si="0"/>
        <v>117852</v>
      </c>
      <c r="N9" s="113">
        <f t="shared" si="0"/>
        <v>22695</v>
      </c>
      <c r="O9" s="113">
        <f t="shared" si="0"/>
        <v>1229322</v>
      </c>
    </row>
    <row r="10" spans="1:15" ht="39.950000000000003" customHeight="1" x14ac:dyDescent="0.2">
      <c r="A10" s="114" t="s">
        <v>202</v>
      </c>
      <c r="B10" s="115" t="s">
        <v>103</v>
      </c>
      <c r="C10" s="116"/>
      <c r="D10" s="117" t="s">
        <v>408</v>
      </c>
      <c r="E10" s="118">
        <v>450000</v>
      </c>
      <c r="F10" s="118">
        <v>375000</v>
      </c>
      <c r="G10" s="118"/>
      <c r="H10" s="118"/>
      <c r="I10" s="118">
        <v>25000</v>
      </c>
      <c r="J10" s="118"/>
      <c r="K10" s="118">
        <v>25000</v>
      </c>
      <c r="L10" s="118"/>
      <c r="M10" s="118">
        <v>25000</v>
      </c>
      <c r="N10" s="118"/>
      <c r="O10" s="118">
        <v>300000</v>
      </c>
    </row>
    <row r="11" spans="1:15" ht="20.100000000000001" customHeight="1" x14ac:dyDescent="0.2">
      <c r="A11" s="119"/>
      <c r="B11" s="120" t="s">
        <v>252</v>
      </c>
      <c r="C11" s="121"/>
      <c r="D11" s="121"/>
      <c r="E11" s="122">
        <f>SUM(E9:E10)</f>
        <v>2108820</v>
      </c>
      <c r="F11" s="122">
        <f t="shared" ref="F11:O11" si="1">SUM(F9:F10)</f>
        <v>1787760</v>
      </c>
      <c r="G11" s="122">
        <f t="shared" si="1"/>
        <v>0</v>
      </c>
      <c r="H11" s="122">
        <f t="shared" si="1"/>
        <v>150000</v>
      </c>
      <c r="I11" s="122">
        <f t="shared" si="1"/>
        <v>129052</v>
      </c>
      <c r="J11" s="122">
        <f t="shared" si="1"/>
        <v>25467</v>
      </c>
      <c r="K11" s="122">
        <f t="shared" si="1"/>
        <v>136534</v>
      </c>
      <c r="L11" s="122">
        <f t="shared" si="1"/>
        <v>24791</v>
      </c>
      <c r="M11" s="122">
        <f t="shared" si="1"/>
        <v>142852</v>
      </c>
      <c r="N11" s="122">
        <f t="shared" si="1"/>
        <v>22695</v>
      </c>
      <c r="O11" s="122">
        <f t="shared" si="1"/>
        <v>1529322</v>
      </c>
    </row>
    <row r="12" spans="1:15" ht="20.100000000000001" customHeight="1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5" ht="36.75" customHeight="1" x14ac:dyDescent="0.2">
      <c r="A13"/>
      <c r="B13"/>
      <c r="C13" s="86"/>
    </row>
    <row r="14" spans="1:15" ht="20.100000000000001" customHeight="1" x14ac:dyDescent="0.2">
      <c r="A14"/>
      <c r="B14"/>
      <c r="C14"/>
      <c r="N14" s="83" t="s">
        <v>207</v>
      </c>
    </row>
    <row r="15" spans="1:15" ht="20.100000000000001" customHeight="1" x14ac:dyDescent="0.2">
      <c r="A15"/>
      <c r="B15"/>
      <c r="C15" s="86"/>
    </row>
    <row r="16" spans="1:15" ht="20.100000000000001" customHeight="1" x14ac:dyDescent="0.2">
      <c r="A16"/>
      <c r="B16"/>
      <c r="C16"/>
    </row>
    <row r="17" spans="1:8" ht="20.100000000000001" customHeight="1" x14ac:dyDescent="0.2">
      <c r="A17"/>
      <c r="B17"/>
      <c r="C17" s="86"/>
    </row>
    <row r="18" spans="1:8" ht="20.100000000000001" customHeight="1" x14ac:dyDescent="0.2">
      <c r="A18"/>
      <c r="B18"/>
      <c r="C18"/>
    </row>
    <row r="19" spans="1:8" ht="20.100000000000001" customHeight="1" x14ac:dyDescent="0.2">
      <c r="A19"/>
      <c r="B19"/>
      <c r="C19" s="86"/>
    </row>
    <row r="20" spans="1:8" ht="20.100000000000001" customHeight="1" x14ac:dyDescent="0.2">
      <c r="A20"/>
      <c r="B20"/>
      <c r="C20"/>
    </row>
    <row r="21" spans="1:8" ht="20.100000000000001" customHeight="1" x14ac:dyDescent="0.2">
      <c r="A21"/>
      <c r="B21"/>
      <c r="C21" s="86"/>
    </row>
    <row r="22" spans="1:8" ht="20.100000000000001" customHeight="1" x14ac:dyDescent="0.2">
      <c r="A22"/>
      <c r="B22"/>
      <c r="C22"/>
    </row>
    <row r="23" spans="1:8" ht="20.100000000000001" customHeight="1" x14ac:dyDescent="0.2">
      <c r="A23"/>
      <c r="B23"/>
      <c r="C23" s="86"/>
    </row>
    <row r="24" spans="1:8" ht="20.100000000000001" customHeight="1" x14ac:dyDescent="0.2">
      <c r="A24"/>
      <c r="B24"/>
      <c r="C24"/>
    </row>
    <row r="25" spans="1:8" ht="20.100000000000001" customHeight="1" x14ac:dyDescent="0.2">
      <c r="A25"/>
      <c r="B25"/>
      <c r="C25" s="86"/>
    </row>
    <row r="26" spans="1:8" ht="20.100000000000001" customHeight="1" x14ac:dyDescent="0.2"/>
    <row r="27" spans="1:8" ht="20.100000000000001" customHeight="1" x14ac:dyDescent="0.2">
      <c r="B27"/>
      <c r="C27"/>
      <c r="D27"/>
      <c r="E27"/>
      <c r="F27"/>
      <c r="G27"/>
      <c r="H27"/>
    </row>
    <row r="28" spans="1:8" ht="20.100000000000001" customHeight="1" x14ac:dyDescent="0.2"/>
    <row r="29" spans="1:8" ht="20.100000000000001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mergeCells count="10">
    <mergeCell ref="M1:N1"/>
    <mergeCell ref="O1:O2"/>
    <mergeCell ref="E1:E2"/>
    <mergeCell ref="F1:H1"/>
    <mergeCell ref="A1:A2"/>
    <mergeCell ref="B1:B2"/>
    <mergeCell ref="C1:C2"/>
    <mergeCell ref="D1:D2"/>
    <mergeCell ref="I1:J1"/>
    <mergeCell ref="K1:L1"/>
  </mergeCells>
  <phoneticPr fontId="99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landscape" horizontalDpi="300" verticalDpi="300" r:id="rId1"/>
  <headerFooter alignWithMargins="0">
    <oddHeader>&amp;C&amp;"Times New Roman CE,Félkövér dőlt"A HITELÁLLOMÁNY ÉS ADÓSSÁGSZOLGÁLAT ALAKULÁSA 2020-2022. ÉVEKBEN&amp;R9.melléklet
Adatok:ezerFt-ban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H22"/>
  <sheetViews>
    <sheetView tabSelected="1" workbookViewId="0">
      <selection activeCell="M26" sqref="M26"/>
    </sheetView>
  </sheetViews>
  <sheetFormatPr defaultColWidth="10.6640625" defaultRowHeight="12.75" x14ac:dyDescent="0.2"/>
  <cols>
    <col min="1" max="1" width="10.6640625" style="87"/>
    <col min="2" max="2" width="37" style="87" customWidth="1"/>
    <col min="3" max="3" width="10.5" style="87" customWidth="1"/>
    <col min="4" max="4" width="10.6640625" style="87"/>
    <col min="5" max="5" width="9" style="87" customWidth="1"/>
    <col min="6" max="6" width="6.6640625" style="87" customWidth="1"/>
    <col min="7" max="7" width="9.5" style="87" customWidth="1"/>
    <col min="8" max="8" width="9.6640625" style="87" customWidth="1"/>
    <col min="9" max="9" width="10.6640625" style="87"/>
    <col min="10" max="10" width="9.5" style="87" customWidth="1"/>
    <col min="11" max="11" width="9.1640625" style="87" customWidth="1"/>
    <col min="12" max="12" width="11.6640625" style="87" customWidth="1"/>
    <col min="13" max="13" width="9.33203125" style="87" customWidth="1"/>
    <col min="14" max="14" width="13.6640625" style="87" customWidth="1"/>
    <col min="15" max="15" width="8.5" style="87" customWidth="1"/>
    <col min="16" max="16" width="13" style="87" customWidth="1"/>
    <col min="17" max="16384" width="10.6640625" style="87"/>
  </cols>
  <sheetData>
    <row r="1" spans="1:60" ht="54" x14ac:dyDescent="0.2">
      <c r="A1" s="818" t="s">
        <v>323</v>
      </c>
      <c r="B1" s="819" t="s">
        <v>253</v>
      </c>
      <c r="C1" s="820" t="s">
        <v>1513</v>
      </c>
      <c r="D1" s="820" t="s">
        <v>89</v>
      </c>
      <c r="E1" s="819" t="s">
        <v>126</v>
      </c>
      <c r="F1" s="819" t="s">
        <v>324</v>
      </c>
      <c r="G1" s="819" t="s">
        <v>127</v>
      </c>
      <c r="H1" s="820" t="s">
        <v>128</v>
      </c>
      <c r="I1" s="821" t="s">
        <v>215</v>
      </c>
      <c r="J1" s="821" t="s">
        <v>184</v>
      </c>
      <c r="K1" s="821" t="s">
        <v>241</v>
      </c>
      <c r="L1" s="820" t="s">
        <v>45</v>
      </c>
      <c r="M1" s="821" t="s">
        <v>159</v>
      </c>
    </row>
    <row r="2" spans="1:60" s="823" customFormat="1" x14ac:dyDescent="0.2">
      <c r="A2" s="649">
        <v>1</v>
      </c>
      <c r="B2" s="650" t="s">
        <v>313</v>
      </c>
      <c r="C2" s="651">
        <v>6</v>
      </c>
      <c r="D2" s="651">
        <v>4</v>
      </c>
      <c r="E2" s="651"/>
      <c r="F2" s="822"/>
      <c r="G2" s="822"/>
      <c r="H2" s="822"/>
      <c r="I2" s="822"/>
      <c r="J2" s="822"/>
      <c r="K2" s="652">
        <v>2</v>
      </c>
      <c r="L2" s="651">
        <v>6</v>
      </c>
      <c r="M2" s="651">
        <v>0</v>
      </c>
      <c r="N2" s="744"/>
      <c r="O2" s="744"/>
      <c r="P2" s="744"/>
      <c r="Q2" s="744"/>
      <c r="R2" s="744"/>
      <c r="S2" s="744"/>
      <c r="T2" s="744"/>
      <c r="U2" s="744"/>
      <c r="V2" s="744"/>
      <c r="W2" s="744"/>
      <c r="X2" s="744"/>
      <c r="Y2" s="744"/>
      <c r="Z2" s="744"/>
      <c r="AA2" s="744"/>
      <c r="AB2" s="744"/>
      <c r="AC2" s="744"/>
      <c r="AD2" s="744"/>
      <c r="AE2" s="744"/>
      <c r="AF2" s="744"/>
      <c r="AG2" s="744"/>
      <c r="AH2" s="744"/>
      <c r="AI2" s="744"/>
      <c r="AJ2" s="744"/>
      <c r="AK2" s="744"/>
      <c r="AL2" s="744"/>
      <c r="AM2" s="744"/>
      <c r="AN2" s="744"/>
      <c r="AO2" s="744"/>
      <c r="AP2" s="744"/>
      <c r="AQ2" s="744"/>
      <c r="AR2" s="744"/>
      <c r="AS2" s="744"/>
      <c r="AT2" s="744"/>
      <c r="AU2" s="744"/>
      <c r="AV2" s="744"/>
      <c r="AW2" s="744"/>
      <c r="AX2" s="744"/>
      <c r="AY2" s="744"/>
      <c r="AZ2" s="744"/>
      <c r="BA2" s="744"/>
      <c r="BB2" s="744"/>
      <c r="BC2" s="744"/>
      <c r="BD2" s="744"/>
      <c r="BE2" s="744"/>
      <c r="BF2" s="744"/>
      <c r="BG2" s="744"/>
      <c r="BH2" s="744"/>
    </row>
    <row r="3" spans="1:60" s="824" customFormat="1" ht="15" x14ac:dyDescent="0.2">
      <c r="A3" s="649">
        <v>2</v>
      </c>
      <c r="B3" s="653" t="s">
        <v>216</v>
      </c>
      <c r="C3" s="654">
        <v>190</v>
      </c>
      <c r="D3" s="654"/>
      <c r="E3" s="654">
        <v>161</v>
      </c>
      <c r="F3" s="654"/>
      <c r="G3" s="654"/>
      <c r="H3" s="654"/>
      <c r="I3" s="654"/>
      <c r="J3" s="654">
        <v>22</v>
      </c>
      <c r="K3" s="654">
        <v>7</v>
      </c>
      <c r="L3" s="654">
        <v>190</v>
      </c>
      <c r="M3" s="651">
        <v>0</v>
      </c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5"/>
      <c r="AO3" s="655"/>
      <c r="AP3" s="655"/>
      <c r="AQ3" s="655"/>
      <c r="AR3" s="655"/>
      <c r="AS3" s="655"/>
      <c r="AT3" s="655"/>
      <c r="AU3" s="655"/>
      <c r="AV3" s="655"/>
      <c r="AW3" s="655"/>
      <c r="AX3" s="655"/>
      <c r="AY3" s="655"/>
      <c r="AZ3" s="655"/>
      <c r="BA3" s="655"/>
      <c r="BB3" s="655"/>
      <c r="BC3" s="655"/>
      <c r="BD3" s="655"/>
      <c r="BE3" s="655"/>
      <c r="BF3" s="655"/>
      <c r="BG3" s="655"/>
      <c r="BH3" s="655"/>
    </row>
    <row r="4" spans="1:60" s="825" customFormat="1" ht="15" x14ac:dyDescent="0.2">
      <c r="A4" s="649">
        <v>3</v>
      </c>
      <c r="B4" s="653" t="s">
        <v>217</v>
      </c>
      <c r="C4" s="654">
        <v>43.5</v>
      </c>
      <c r="D4" s="654"/>
      <c r="E4" s="654"/>
      <c r="F4" s="656"/>
      <c r="G4" s="656"/>
      <c r="H4" s="654"/>
      <c r="I4" s="657"/>
      <c r="J4" s="654">
        <v>31</v>
      </c>
      <c r="K4" s="654">
        <v>12.5</v>
      </c>
      <c r="L4" s="654">
        <v>43.5</v>
      </c>
      <c r="M4" s="651">
        <v>0</v>
      </c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  <c r="AE4" s="658"/>
      <c r="AF4" s="658"/>
      <c r="AG4" s="658"/>
      <c r="AH4" s="658"/>
      <c r="AI4" s="658"/>
      <c r="AJ4" s="658"/>
      <c r="AK4" s="658"/>
      <c r="AL4" s="658"/>
      <c r="AM4" s="658"/>
      <c r="AN4" s="658"/>
      <c r="AO4" s="658"/>
      <c r="AP4" s="658"/>
      <c r="AQ4" s="658"/>
      <c r="AR4" s="658"/>
      <c r="AS4" s="658"/>
      <c r="AT4" s="658"/>
      <c r="AU4" s="658"/>
      <c r="AV4" s="658"/>
      <c r="AW4" s="658"/>
      <c r="AX4" s="658"/>
      <c r="AY4" s="658"/>
      <c r="AZ4" s="658"/>
      <c r="BA4" s="658"/>
      <c r="BB4" s="658"/>
      <c r="BC4" s="658"/>
      <c r="BD4" s="658"/>
      <c r="BE4" s="658"/>
      <c r="BF4" s="658"/>
      <c r="BG4" s="658"/>
      <c r="BH4" s="658"/>
    </row>
    <row r="5" spans="1:60" s="825" customFormat="1" ht="15" x14ac:dyDescent="0.2">
      <c r="A5" s="649">
        <v>4</v>
      </c>
      <c r="B5" s="650" t="s">
        <v>281</v>
      </c>
      <c r="C5" s="654">
        <v>122.5</v>
      </c>
      <c r="D5" s="654"/>
      <c r="E5" s="654"/>
      <c r="F5" s="656">
        <v>0.5</v>
      </c>
      <c r="G5" s="657"/>
      <c r="H5" s="654"/>
      <c r="I5" s="657">
        <v>92</v>
      </c>
      <c r="J5" s="654">
        <v>4</v>
      </c>
      <c r="K5" s="654">
        <v>26</v>
      </c>
      <c r="L5" s="654">
        <v>122.5</v>
      </c>
      <c r="M5" s="651">
        <v>0</v>
      </c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C5" s="658"/>
      <c r="AD5" s="658"/>
      <c r="AE5" s="658"/>
      <c r="AF5" s="658"/>
      <c r="AG5" s="658"/>
      <c r="AH5" s="658"/>
      <c r="AI5" s="658"/>
      <c r="AJ5" s="658"/>
      <c r="AK5" s="658"/>
      <c r="AL5" s="658"/>
      <c r="AM5" s="658"/>
      <c r="AN5" s="658"/>
      <c r="AO5" s="658"/>
      <c r="AP5" s="658"/>
      <c r="AQ5" s="658"/>
      <c r="AR5" s="658"/>
      <c r="AS5" s="658"/>
      <c r="AT5" s="658"/>
      <c r="AU5" s="658"/>
      <c r="AV5" s="658"/>
      <c r="AW5" s="658"/>
      <c r="AX5" s="658"/>
      <c r="AY5" s="658"/>
      <c r="AZ5" s="658"/>
      <c r="BA5" s="658"/>
      <c r="BB5" s="658"/>
      <c r="BC5" s="658"/>
      <c r="BD5" s="658"/>
      <c r="BE5" s="658"/>
      <c r="BF5" s="658"/>
      <c r="BG5" s="658"/>
      <c r="BH5" s="658"/>
    </row>
    <row r="6" spans="1:60" s="825" customFormat="1" ht="15" x14ac:dyDescent="0.2">
      <c r="A6" s="649">
        <v>5</v>
      </c>
      <c r="B6" s="650" t="s">
        <v>218</v>
      </c>
      <c r="C6" s="654">
        <v>56.5</v>
      </c>
      <c r="D6" s="654"/>
      <c r="E6" s="654"/>
      <c r="F6" s="654">
        <v>4</v>
      </c>
      <c r="G6" s="656"/>
      <c r="H6" s="654"/>
      <c r="I6" s="657">
        <v>48.5</v>
      </c>
      <c r="J6" s="654"/>
      <c r="K6" s="654">
        <v>7</v>
      </c>
      <c r="L6" s="654">
        <v>59.5</v>
      </c>
      <c r="M6" s="651">
        <v>3</v>
      </c>
      <c r="N6" s="658"/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8"/>
      <c r="AA6" s="658"/>
      <c r="AB6" s="658"/>
      <c r="AC6" s="658"/>
      <c r="AD6" s="658"/>
      <c r="AE6" s="658"/>
      <c r="AF6" s="658"/>
      <c r="AG6" s="658"/>
      <c r="AH6" s="658"/>
      <c r="AI6" s="658"/>
      <c r="AJ6" s="658"/>
      <c r="AK6" s="658"/>
      <c r="AL6" s="658"/>
      <c r="AM6" s="658"/>
      <c r="AN6" s="658"/>
      <c r="AO6" s="658"/>
      <c r="AP6" s="658"/>
      <c r="AQ6" s="658"/>
      <c r="AR6" s="658"/>
      <c r="AS6" s="658"/>
      <c r="AT6" s="658"/>
      <c r="AU6" s="658"/>
      <c r="AV6" s="658"/>
      <c r="AW6" s="658"/>
      <c r="AX6" s="658"/>
      <c r="AY6" s="658"/>
      <c r="AZ6" s="658"/>
      <c r="BA6" s="658"/>
      <c r="BB6" s="658"/>
      <c r="BC6" s="658"/>
      <c r="BD6" s="658"/>
      <c r="BE6" s="658"/>
      <c r="BF6" s="658"/>
      <c r="BG6" s="658"/>
      <c r="BH6" s="658"/>
    </row>
    <row r="7" spans="1:60" s="825" customFormat="1" ht="25.5" x14ac:dyDescent="0.2">
      <c r="A7" s="649">
        <v>6</v>
      </c>
      <c r="B7" s="659" t="s">
        <v>317</v>
      </c>
      <c r="C7" s="654">
        <v>61.5</v>
      </c>
      <c r="D7" s="654"/>
      <c r="E7" s="654"/>
      <c r="F7" s="656"/>
      <c r="G7" s="656"/>
      <c r="H7" s="654"/>
      <c r="I7" s="657">
        <v>59.5</v>
      </c>
      <c r="J7" s="654">
        <v>2</v>
      </c>
      <c r="K7" s="654"/>
      <c r="L7" s="654">
        <v>61.5</v>
      </c>
      <c r="M7" s="651">
        <v>0</v>
      </c>
      <c r="N7" s="658"/>
      <c r="O7" s="658"/>
      <c r="P7" s="658"/>
      <c r="Q7" s="658"/>
      <c r="R7" s="658"/>
      <c r="S7" s="658"/>
      <c r="T7" s="658"/>
      <c r="U7" s="658"/>
      <c r="V7" s="658"/>
      <c r="W7" s="658"/>
      <c r="X7" s="658"/>
      <c r="Y7" s="658"/>
      <c r="Z7" s="658"/>
      <c r="AA7" s="658"/>
      <c r="AB7" s="658"/>
      <c r="AC7" s="658"/>
      <c r="AD7" s="658"/>
      <c r="AE7" s="658"/>
      <c r="AF7" s="658"/>
      <c r="AG7" s="658"/>
      <c r="AH7" s="658"/>
      <c r="AI7" s="658"/>
      <c r="AJ7" s="658"/>
      <c r="AK7" s="658"/>
      <c r="AL7" s="658"/>
      <c r="AM7" s="658"/>
      <c r="AN7" s="658"/>
      <c r="AO7" s="658"/>
      <c r="AP7" s="658"/>
      <c r="AQ7" s="658"/>
      <c r="AR7" s="658"/>
      <c r="AS7" s="658"/>
      <c r="AT7" s="658"/>
      <c r="AU7" s="658"/>
      <c r="AV7" s="658"/>
      <c r="AW7" s="658"/>
      <c r="AX7" s="658"/>
      <c r="AY7" s="658"/>
      <c r="AZ7" s="658"/>
      <c r="BA7" s="658"/>
      <c r="BB7" s="658"/>
      <c r="BC7" s="658"/>
      <c r="BD7" s="658"/>
      <c r="BE7" s="658"/>
      <c r="BF7" s="658"/>
      <c r="BG7" s="658"/>
      <c r="BH7" s="658"/>
    </row>
    <row r="8" spans="1:60" s="825" customFormat="1" ht="15" x14ac:dyDescent="0.2">
      <c r="A8" s="649">
        <v>7</v>
      </c>
      <c r="B8" s="650" t="s">
        <v>219</v>
      </c>
      <c r="C8" s="654">
        <v>72.5</v>
      </c>
      <c r="D8" s="654"/>
      <c r="E8" s="654"/>
      <c r="F8" s="656"/>
      <c r="G8" s="656">
        <v>39.5</v>
      </c>
      <c r="H8" s="654"/>
      <c r="I8" s="657">
        <v>26</v>
      </c>
      <c r="J8" s="654"/>
      <c r="K8" s="654">
        <v>7</v>
      </c>
      <c r="L8" s="654">
        <v>72.5</v>
      </c>
      <c r="M8" s="651">
        <v>0</v>
      </c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8"/>
      <c r="AV8" s="658"/>
      <c r="AW8" s="658"/>
      <c r="AX8" s="658"/>
      <c r="AY8" s="658"/>
      <c r="AZ8" s="658"/>
      <c r="BA8" s="658"/>
      <c r="BB8" s="658"/>
      <c r="BC8" s="658"/>
      <c r="BD8" s="658"/>
      <c r="BE8" s="658"/>
      <c r="BF8" s="658"/>
      <c r="BG8" s="658"/>
      <c r="BH8" s="658"/>
    </row>
    <row r="9" spans="1:60" s="825" customFormat="1" ht="15" x14ac:dyDescent="0.2">
      <c r="A9" s="649">
        <v>8</v>
      </c>
      <c r="B9" s="650" t="s">
        <v>220</v>
      </c>
      <c r="C9" s="654">
        <v>63</v>
      </c>
      <c r="D9" s="654"/>
      <c r="E9" s="654"/>
      <c r="F9" s="656"/>
      <c r="G9" s="654">
        <v>33</v>
      </c>
      <c r="H9" s="654"/>
      <c r="I9" s="657">
        <v>22</v>
      </c>
      <c r="J9" s="654"/>
      <c r="K9" s="654">
        <v>8</v>
      </c>
      <c r="L9" s="654">
        <v>63</v>
      </c>
      <c r="M9" s="651">
        <v>0</v>
      </c>
      <c r="N9" s="658"/>
      <c r="O9" s="658"/>
      <c r="P9" s="658"/>
      <c r="Q9" s="658"/>
      <c r="R9" s="658"/>
      <c r="S9" s="658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  <c r="AO9" s="658"/>
      <c r="AP9" s="658"/>
      <c r="AQ9" s="658"/>
      <c r="AR9" s="658"/>
      <c r="AS9" s="658"/>
      <c r="AT9" s="658"/>
      <c r="AU9" s="658"/>
      <c r="AV9" s="658"/>
      <c r="AW9" s="658"/>
      <c r="AX9" s="658"/>
      <c r="AY9" s="658"/>
      <c r="AZ9" s="658"/>
      <c r="BA9" s="658"/>
      <c r="BB9" s="658"/>
      <c r="BC9" s="658"/>
      <c r="BD9" s="658"/>
      <c r="BE9" s="658"/>
      <c r="BF9" s="658"/>
      <c r="BG9" s="658"/>
      <c r="BH9" s="658"/>
    </row>
    <row r="10" spans="1:60" s="825" customFormat="1" ht="15" x14ac:dyDescent="0.2">
      <c r="A10" s="649">
        <v>9</v>
      </c>
      <c r="B10" s="650" t="s">
        <v>284</v>
      </c>
      <c r="C10" s="654">
        <v>70</v>
      </c>
      <c r="D10" s="654"/>
      <c r="E10" s="654"/>
      <c r="F10" s="656"/>
      <c r="G10" s="654">
        <v>39</v>
      </c>
      <c r="H10" s="654"/>
      <c r="I10" s="657">
        <v>24</v>
      </c>
      <c r="J10" s="654"/>
      <c r="K10" s="654">
        <v>7</v>
      </c>
      <c r="L10" s="654">
        <v>70</v>
      </c>
      <c r="M10" s="651">
        <v>0</v>
      </c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  <c r="AO10" s="658"/>
      <c r="AP10" s="658"/>
      <c r="AQ10" s="658"/>
      <c r="AR10" s="658"/>
      <c r="AS10" s="658"/>
      <c r="AT10" s="658"/>
      <c r="AU10" s="658"/>
      <c r="AV10" s="658"/>
      <c r="AW10" s="658"/>
      <c r="AX10" s="658"/>
      <c r="AY10" s="658"/>
      <c r="AZ10" s="658"/>
      <c r="BA10" s="658"/>
      <c r="BB10" s="658"/>
      <c r="BC10" s="658"/>
      <c r="BD10" s="658"/>
      <c r="BE10" s="658"/>
      <c r="BF10" s="658"/>
      <c r="BG10" s="658"/>
      <c r="BH10" s="658"/>
    </row>
    <row r="11" spans="1:60" s="825" customFormat="1" ht="15" x14ac:dyDescent="0.2">
      <c r="A11" s="649">
        <v>10</v>
      </c>
      <c r="B11" s="650" t="s">
        <v>285</v>
      </c>
      <c r="C11" s="654">
        <v>68</v>
      </c>
      <c r="D11" s="654"/>
      <c r="E11" s="654"/>
      <c r="F11" s="656"/>
      <c r="G11" s="654">
        <v>37</v>
      </c>
      <c r="H11" s="654"/>
      <c r="I11" s="657">
        <v>22</v>
      </c>
      <c r="J11" s="654"/>
      <c r="K11" s="654">
        <v>9</v>
      </c>
      <c r="L11" s="654">
        <v>68</v>
      </c>
      <c r="M11" s="651">
        <v>0</v>
      </c>
      <c r="N11" s="65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  <c r="AV11" s="658"/>
      <c r="AW11" s="658"/>
      <c r="AX11" s="658"/>
      <c r="AY11" s="658"/>
      <c r="AZ11" s="658"/>
      <c r="BA11" s="658"/>
      <c r="BB11" s="658"/>
      <c r="BC11" s="658"/>
      <c r="BD11" s="658"/>
      <c r="BE11" s="658"/>
      <c r="BF11" s="658"/>
      <c r="BG11" s="658"/>
      <c r="BH11" s="658"/>
    </row>
    <row r="12" spans="1:60" s="826" customFormat="1" ht="25.5" x14ac:dyDescent="0.2">
      <c r="A12" s="649">
        <v>11</v>
      </c>
      <c r="B12" s="659" t="s">
        <v>318</v>
      </c>
      <c r="C12" s="654">
        <v>13</v>
      </c>
      <c r="D12" s="654"/>
      <c r="E12" s="652"/>
      <c r="F12" s="660"/>
      <c r="G12" s="652"/>
      <c r="H12" s="652"/>
      <c r="I12" s="652"/>
      <c r="J12" s="652">
        <v>13</v>
      </c>
      <c r="K12" s="652"/>
      <c r="L12" s="652">
        <v>13</v>
      </c>
      <c r="M12" s="651">
        <v>0</v>
      </c>
    </row>
    <row r="13" spans="1:60" s="826" customFormat="1" ht="25.5" x14ac:dyDescent="0.2">
      <c r="A13" s="649">
        <v>12</v>
      </c>
      <c r="B13" s="661" t="s">
        <v>221</v>
      </c>
      <c r="C13" s="654">
        <v>63.5</v>
      </c>
      <c r="D13" s="654"/>
      <c r="E13" s="652"/>
      <c r="F13" s="652"/>
      <c r="G13" s="652"/>
      <c r="H13" s="652">
        <v>16</v>
      </c>
      <c r="I13" s="652">
        <v>13</v>
      </c>
      <c r="J13" s="652">
        <v>7</v>
      </c>
      <c r="K13" s="652">
        <v>27.5</v>
      </c>
      <c r="L13" s="652">
        <v>63.5</v>
      </c>
      <c r="M13" s="651">
        <v>0</v>
      </c>
    </row>
    <row r="14" spans="1:60" s="827" customFormat="1" ht="25.5" x14ac:dyDescent="0.2">
      <c r="A14" s="649">
        <v>13</v>
      </c>
      <c r="B14" s="659" t="s">
        <v>222</v>
      </c>
      <c r="C14" s="654">
        <v>4</v>
      </c>
      <c r="D14" s="654"/>
      <c r="E14" s="652"/>
      <c r="F14" s="660"/>
      <c r="G14" s="660"/>
      <c r="H14" s="652"/>
      <c r="I14" s="662">
        <v>4</v>
      </c>
      <c r="J14" s="662"/>
      <c r="K14" s="662"/>
      <c r="L14" s="662">
        <v>4</v>
      </c>
      <c r="M14" s="651">
        <v>0</v>
      </c>
      <c r="P14" s="828"/>
    </row>
    <row r="15" spans="1:60" s="744" customFormat="1" x14ac:dyDescent="0.2">
      <c r="A15" s="649">
        <v>14</v>
      </c>
      <c r="B15" s="650" t="s">
        <v>279</v>
      </c>
      <c r="C15" s="654">
        <v>54</v>
      </c>
      <c r="D15" s="654"/>
      <c r="E15" s="652"/>
      <c r="F15" s="660"/>
      <c r="G15" s="660"/>
      <c r="H15" s="652">
        <v>42</v>
      </c>
      <c r="I15" s="662">
        <v>5.5</v>
      </c>
      <c r="J15" s="652">
        <v>1</v>
      </c>
      <c r="K15" s="652">
        <v>5.5</v>
      </c>
      <c r="L15" s="654">
        <v>54</v>
      </c>
      <c r="M15" s="651">
        <v>0</v>
      </c>
    </row>
    <row r="16" spans="1:60" s="826" customFormat="1" ht="15" x14ac:dyDescent="0.2">
      <c r="A16" s="649">
        <v>15</v>
      </c>
      <c r="B16" s="650" t="s">
        <v>280</v>
      </c>
      <c r="C16" s="654">
        <v>58</v>
      </c>
      <c r="D16" s="654"/>
      <c r="E16" s="652"/>
      <c r="F16" s="660"/>
      <c r="G16" s="660"/>
      <c r="H16" s="663"/>
      <c r="I16" s="662">
        <v>45</v>
      </c>
      <c r="J16" s="662">
        <v>3</v>
      </c>
      <c r="K16" s="662">
        <v>10</v>
      </c>
      <c r="L16" s="662">
        <v>58</v>
      </c>
      <c r="M16" s="651">
        <v>0</v>
      </c>
    </row>
    <row r="17" spans="1:13" x14ac:dyDescent="0.2">
      <c r="A17" s="649">
        <v>16</v>
      </c>
      <c r="B17" s="650" t="s">
        <v>129</v>
      </c>
      <c r="C17" s="654">
        <v>127</v>
      </c>
      <c r="D17" s="654"/>
      <c r="E17" s="652"/>
      <c r="F17" s="660"/>
      <c r="G17" s="660"/>
      <c r="H17" s="663"/>
      <c r="I17" s="662">
        <v>39</v>
      </c>
      <c r="J17" s="652">
        <v>16</v>
      </c>
      <c r="K17" s="652">
        <v>72</v>
      </c>
      <c r="L17" s="654">
        <v>127</v>
      </c>
      <c r="M17" s="651">
        <v>0</v>
      </c>
    </row>
    <row r="18" spans="1:13" x14ac:dyDescent="0.2">
      <c r="A18" s="649">
        <v>17</v>
      </c>
      <c r="B18" s="650" t="s">
        <v>288</v>
      </c>
      <c r="C18" s="654">
        <v>19</v>
      </c>
      <c r="D18" s="654"/>
      <c r="E18" s="652"/>
      <c r="F18" s="660"/>
      <c r="G18" s="660"/>
      <c r="H18" s="663"/>
      <c r="I18" s="662">
        <v>11</v>
      </c>
      <c r="J18" s="652">
        <v>1</v>
      </c>
      <c r="K18" s="652">
        <v>7</v>
      </c>
      <c r="L18" s="654">
        <v>19</v>
      </c>
      <c r="M18" s="651">
        <v>0</v>
      </c>
    </row>
    <row r="19" spans="1:13" s="827" customFormat="1" ht="25.5" x14ac:dyDescent="0.2">
      <c r="A19" s="649">
        <v>18</v>
      </c>
      <c r="B19" s="659" t="s">
        <v>223</v>
      </c>
      <c r="C19" s="654">
        <v>23</v>
      </c>
      <c r="D19" s="654"/>
      <c r="E19" s="652"/>
      <c r="F19" s="660"/>
      <c r="G19" s="660"/>
      <c r="H19" s="663"/>
      <c r="I19" s="662"/>
      <c r="J19" s="652">
        <v>4</v>
      </c>
      <c r="K19" s="652">
        <v>19</v>
      </c>
      <c r="L19" s="652">
        <v>23</v>
      </c>
      <c r="M19" s="651">
        <v>0</v>
      </c>
    </row>
    <row r="20" spans="1:13" s="88" customFormat="1" x14ac:dyDescent="0.2">
      <c r="A20" s="649">
        <v>19</v>
      </c>
      <c r="B20" s="650" t="s">
        <v>325</v>
      </c>
      <c r="C20" s="654">
        <v>11</v>
      </c>
      <c r="D20" s="654"/>
      <c r="E20" s="652"/>
      <c r="F20" s="660"/>
      <c r="G20" s="660"/>
      <c r="H20" s="663"/>
      <c r="I20" s="662"/>
      <c r="J20" s="652">
        <v>3</v>
      </c>
      <c r="K20" s="652">
        <v>8</v>
      </c>
      <c r="L20" s="654">
        <v>11</v>
      </c>
      <c r="M20" s="651">
        <v>0</v>
      </c>
    </row>
    <row r="21" spans="1:13" ht="13.5" x14ac:dyDescent="0.25">
      <c r="A21" s="829"/>
      <c r="B21" s="830" t="s">
        <v>130</v>
      </c>
      <c r="C21" s="831">
        <v>1120</v>
      </c>
      <c r="D21" s="831"/>
      <c r="E21" s="831">
        <v>161</v>
      </c>
      <c r="F21" s="831">
        <v>4.5</v>
      </c>
      <c r="G21" s="831">
        <v>148.5</v>
      </c>
      <c r="H21" s="831">
        <v>58</v>
      </c>
      <c r="I21" s="831">
        <v>411.5</v>
      </c>
      <c r="J21" s="831">
        <v>107</v>
      </c>
      <c r="K21" s="831">
        <v>232.5</v>
      </c>
      <c r="L21" s="831">
        <v>1123</v>
      </c>
      <c r="M21" s="831">
        <v>3</v>
      </c>
    </row>
    <row r="22" spans="1:13" ht="13.5" x14ac:dyDescent="0.25">
      <c r="A22" s="832"/>
      <c r="B22" s="830" t="s">
        <v>252</v>
      </c>
      <c r="C22" s="833">
        <v>1126</v>
      </c>
      <c r="D22" s="833">
        <v>4</v>
      </c>
      <c r="E22" s="833">
        <v>161</v>
      </c>
      <c r="F22" s="833">
        <v>4.5</v>
      </c>
      <c r="G22" s="833">
        <v>148.5</v>
      </c>
      <c r="H22" s="833">
        <v>58</v>
      </c>
      <c r="I22" s="833">
        <v>411.5</v>
      </c>
      <c r="J22" s="833">
        <v>107</v>
      </c>
      <c r="K22" s="833">
        <v>234.5</v>
      </c>
      <c r="L22" s="833">
        <v>1129</v>
      </c>
      <c r="M22" s="833">
        <v>3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&amp;C&amp;"Times New Roman,Félkövér"ZMJV Önkormányzata és az általa irányított költségvetési szervek 2020. évi létszám-előirányzata                                                                                       &amp;R&amp;"Arial,Dőlt"10. melléklet
Adatok : főben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topLeftCell="I1" workbookViewId="0">
      <selection activeCell="S1" sqref="S1:AC65536"/>
    </sheetView>
  </sheetViews>
  <sheetFormatPr defaultColWidth="4.83203125" defaultRowHeight="12" x14ac:dyDescent="0.2"/>
  <cols>
    <col min="1" max="1" width="4.83203125" style="510" customWidth="1"/>
    <col min="2" max="2" width="35.33203125" style="510" customWidth="1"/>
    <col min="3" max="3" width="12.1640625" style="510" customWidth="1"/>
    <col min="4" max="4" width="8.83203125" style="510" customWidth="1"/>
    <col min="5" max="5" width="10.6640625" style="510" customWidth="1"/>
    <col min="6" max="6" width="11.6640625" style="510" customWidth="1"/>
    <col min="7" max="7" width="10" style="510" customWidth="1"/>
    <col min="8" max="8" width="12" style="510" customWidth="1"/>
    <col min="9" max="9" width="11.1640625" style="510" customWidth="1"/>
    <col min="10" max="10" width="11.6640625" style="510" customWidth="1"/>
    <col min="11" max="12" width="11" style="510" customWidth="1"/>
    <col min="13" max="13" width="11.1640625" style="510" customWidth="1"/>
    <col min="14" max="14" width="11" style="510" bestFit="1" customWidth="1"/>
    <col min="15" max="15" width="13.6640625" style="586" hidden="1" customWidth="1"/>
    <col min="16" max="16" width="12.83203125" style="510" hidden="1" customWidth="1"/>
    <col min="17" max="17" width="10.83203125" style="510" hidden="1" customWidth="1"/>
    <col min="18" max="18" width="9.5" style="510" customWidth="1"/>
    <col min="19" max="19" width="10.6640625" style="509" customWidth="1"/>
    <col min="20" max="255" width="10.6640625" style="510" customWidth="1"/>
    <col min="256" max="16384" width="4.83203125" style="510"/>
  </cols>
  <sheetData>
    <row r="1" spans="1:20" ht="33.75" customHeight="1" x14ac:dyDescent="0.2">
      <c r="A1" s="793" t="s">
        <v>147</v>
      </c>
      <c r="B1" s="793" t="s">
        <v>104</v>
      </c>
      <c r="C1" s="793" t="s">
        <v>105</v>
      </c>
      <c r="D1" s="793" t="s">
        <v>106</v>
      </c>
      <c r="E1" s="793" t="s">
        <v>107</v>
      </c>
      <c r="F1" s="793" t="s">
        <v>108</v>
      </c>
      <c r="G1" s="793" t="s">
        <v>109</v>
      </c>
      <c r="H1" s="793" t="s">
        <v>110</v>
      </c>
      <c r="I1" s="793" t="s">
        <v>111</v>
      </c>
      <c r="J1" s="796" t="s">
        <v>112</v>
      </c>
      <c r="K1" s="796"/>
      <c r="L1" s="796"/>
      <c r="M1" s="796"/>
      <c r="N1" s="797"/>
      <c r="O1" s="798"/>
      <c r="P1" s="799"/>
      <c r="Q1" s="799"/>
      <c r="R1" s="800" t="s">
        <v>113</v>
      </c>
      <c r="S1" s="443"/>
      <c r="T1" s="590"/>
    </row>
    <row r="2" spans="1:20" s="513" customFormat="1" ht="30.75" customHeight="1" x14ac:dyDescent="0.2">
      <c r="A2" s="794"/>
      <c r="B2" s="794"/>
      <c r="C2" s="794"/>
      <c r="D2" s="794"/>
      <c r="E2" s="794"/>
      <c r="F2" s="794"/>
      <c r="G2" s="794"/>
      <c r="H2" s="794"/>
      <c r="I2" s="794"/>
      <c r="J2" s="801" t="s">
        <v>114</v>
      </c>
      <c r="K2" s="803" t="s">
        <v>115</v>
      </c>
      <c r="L2" s="796"/>
      <c r="M2" s="796"/>
      <c r="N2" s="797"/>
      <c r="O2" s="511" t="s">
        <v>116</v>
      </c>
      <c r="P2" s="511" t="s">
        <v>117</v>
      </c>
      <c r="Q2" s="512" t="s">
        <v>118</v>
      </c>
      <c r="R2" s="800"/>
      <c r="S2" s="591"/>
      <c r="T2" s="591"/>
    </row>
    <row r="3" spans="1:20" s="513" customFormat="1" ht="66.75" customHeight="1" x14ac:dyDescent="0.2">
      <c r="A3" s="795"/>
      <c r="B3" s="795"/>
      <c r="C3" s="795"/>
      <c r="D3" s="795"/>
      <c r="E3" s="795"/>
      <c r="F3" s="795"/>
      <c r="G3" s="795"/>
      <c r="H3" s="795"/>
      <c r="I3" s="795"/>
      <c r="J3" s="802"/>
      <c r="K3" s="444" t="s">
        <v>119</v>
      </c>
      <c r="L3" s="444" t="s">
        <v>706</v>
      </c>
      <c r="M3" s="444" t="s">
        <v>707</v>
      </c>
      <c r="N3" s="444" t="s">
        <v>708</v>
      </c>
      <c r="O3" s="511"/>
      <c r="P3" s="511"/>
      <c r="Q3" s="512"/>
      <c r="R3" s="800"/>
      <c r="S3" s="591"/>
      <c r="T3" s="591"/>
    </row>
    <row r="4" spans="1:20" s="513" customFormat="1" ht="24.75" customHeight="1" x14ac:dyDescent="0.2">
      <c r="A4" s="514"/>
      <c r="B4" s="515" t="s">
        <v>709</v>
      </c>
      <c r="C4" s="516"/>
      <c r="D4" s="516"/>
      <c r="E4" s="516"/>
      <c r="F4" s="516"/>
      <c r="G4" s="516"/>
      <c r="H4" s="516"/>
      <c r="I4" s="517"/>
      <c r="J4" s="518"/>
      <c r="K4" s="222"/>
      <c r="L4" s="222"/>
      <c r="M4" s="222"/>
      <c r="N4" s="222"/>
      <c r="O4" s="519"/>
      <c r="P4" s="519"/>
      <c r="Q4" s="520"/>
      <c r="R4" s="519"/>
      <c r="S4" s="591"/>
      <c r="T4" s="591"/>
    </row>
    <row r="5" spans="1:20" ht="27.75" customHeight="1" x14ac:dyDescent="0.2">
      <c r="A5" s="521">
        <v>1</v>
      </c>
      <c r="B5" s="522" t="s">
        <v>710</v>
      </c>
      <c r="C5" s="523">
        <v>358970</v>
      </c>
      <c r="D5" s="523">
        <v>20892</v>
      </c>
      <c r="E5" s="523"/>
      <c r="F5" s="523">
        <f>SUM(C5:E5)</f>
        <v>379862</v>
      </c>
      <c r="G5" s="523"/>
      <c r="H5" s="523">
        <f>SUM(F5:G5)</f>
        <v>379862</v>
      </c>
      <c r="I5" s="524">
        <v>377265</v>
      </c>
      <c r="J5" s="525">
        <v>2597</v>
      </c>
      <c r="K5" s="523"/>
      <c r="L5" s="523"/>
      <c r="M5" s="523"/>
      <c r="N5" s="523">
        <v>2597</v>
      </c>
      <c r="O5" s="526">
        <v>355929</v>
      </c>
      <c r="P5" s="526">
        <v>3042</v>
      </c>
      <c r="Q5" s="527"/>
      <c r="R5" s="530"/>
      <c r="S5" s="443"/>
      <c r="T5" s="590"/>
    </row>
    <row r="6" spans="1:20" ht="40.5" customHeight="1" x14ac:dyDescent="0.2">
      <c r="A6" s="528">
        <v>2</v>
      </c>
      <c r="B6" s="529" t="s">
        <v>295</v>
      </c>
      <c r="C6" s="523">
        <v>353000</v>
      </c>
      <c r="D6" s="523"/>
      <c r="E6" s="523"/>
      <c r="F6" s="523">
        <f t="shared" ref="F6:F34" si="0">SUM(C6:E6)</f>
        <v>353000</v>
      </c>
      <c r="G6" s="523">
        <v>17981</v>
      </c>
      <c r="H6" s="523">
        <f t="shared" ref="H6:H34" si="1">SUM(F6:G6)</f>
        <v>370981</v>
      </c>
      <c r="I6" s="524">
        <v>360868</v>
      </c>
      <c r="J6" s="525">
        <v>10113</v>
      </c>
      <c r="K6" s="523"/>
      <c r="L6" s="523"/>
      <c r="M6" s="523"/>
      <c r="N6" s="523">
        <v>10113</v>
      </c>
      <c r="O6" s="530">
        <v>216490</v>
      </c>
      <c r="P6" s="530">
        <v>136510</v>
      </c>
      <c r="Q6" s="531"/>
      <c r="R6" s="530"/>
      <c r="S6" s="443"/>
      <c r="T6" s="590"/>
    </row>
    <row r="7" spans="1:20" ht="39" customHeight="1" x14ac:dyDescent="0.2">
      <c r="A7" s="528">
        <v>3</v>
      </c>
      <c r="B7" s="532" t="s">
        <v>294</v>
      </c>
      <c r="C7" s="533">
        <v>199992</v>
      </c>
      <c r="D7" s="533"/>
      <c r="E7" s="533"/>
      <c r="F7" s="523">
        <f t="shared" si="0"/>
        <v>199992</v>
      </c>
      <c r="G7" s="523">
        <v>2703</v>
      </c>
      <c r="H7" s="523">
        <f t="shared" si="1"/>
        <v>202695</v>
      </c>
      <c r="I7" s="524">
        <v>198589</v>
      </c>
      <c r="J7" s="525">
        <v>4106</v>
      </c>
      <c r="K7" s="533"/>
      <c r="L7" s="533"/>
      <c r="M7" s="533"/>
      <c r="N7" s="533">
        <v>4106</v>
      </c>
      <c r="O7" s="530">
        <v>158800</v>
      </c>
      <c r="P7" s="530">
        <v>41192</v>
      </c>
      <c r="Q7" s="531"/>
      <c r="R7" s="530"/>
      <c r="S7" s="443"/>
      <c r="T7" s="590"/>
    </row>
    <row r="8" spans="1:20" ht="36" customHeight="1" x14ac:dyDescent="0.2">
      <c r="A8" s="528">
        <v>4</v>
      </c>
      <c r="B8" s="532" t="s">
        <v>296</v>
      </c>
      <c r="C8" s="533">
        <v>149992</v>
      </c>
      <c r="D8" s="533"/>
      <c r="E8" s="533"/>
      <c r="F8" s="523">
        <f t="shared" si="0"/>
        <v>149992</v>
      </c>
      <c r="G8" s="530">
        <v>4639</v>
      </c>
      <c r="H8" s="523">
        <f t="shared" si="1"/>
        <v>154631</v>
      </c>
      <c r="I8" s="524">
        <v>8497</v>
      </c>
      <c r="J8" s="534">
        <v>146134</v>
      </c>
      <c r="K8" s="533"/>
      <c r="L8" s="533"/>
      <c r="M8" s="533"/>
      <c r="N8" s="533">
        <v>146134</v>
      </c>
      <c r="O8" s="530">
        <v>7969</v>
      </c>
      <c r="P8" s="530">
        <v>142023</v>
      </c>
      <c r="Q8" s="531"/>
      <c r="R8" s="530"/>
      <c r="S8" s="443"/>
      <c r="T8" s="590"/>
    </row>
    <row r="9" spans="1:20" ht="78" customHeight="1" x14ac:dyDescent="0.2">
      <c r="A9" s="528">
        <v>5</v>
      </c>
      <c r="B9" s="529" t="s">
        <v>300</v>
      </c>
      <c r="C9" s="523">
        <v>997000</v>
      </c>
      <c r="D9" s="523"/>
      <c r="E9" s="523"/>
      <c r="F9" s="523">
        <f t="shared" si="0"/>
        <v>997000</v>
      </c>
      <c r="G9" s="530"/>
      <c r="H9" s="523">
        <f t="shared" si="1"/>
        <v>997000</v>
      </c>
      <c r="I9" s="524">
        <v>44158</v>
      </c>
      <c r="J9" s="525">
        <v>948842</v>
      </c>
      <c r="K9" s="523"/>
      <c r="L9" s="523"/>
      <c r="M9" s="523"/>
      <c r="N9" s="523">
        <v>948842</v>
      </c>
      <c r="O9" s="530">
        <v>22388</v>
      </c>
      <c r="P9" s="530">
        <v>970612</v>
      </c>
      <c r="Q9" s="531">
        <v>4000</v>
      </c>
      <c r="R9" s="530">
        <v>4000</v>
      </c>
      <c r="S9" s="592"/>
      <c r="T9" s="590"/>
    </row>
    <row r="10" spans="1:20" ht="37.5" customHeight="1" x14ac:dyDescent="0.2">
      <c r="A10" s="528">
        <v>6</v>
      </c>
      <c r="B10" s="529" t="s">
        <v>290</v>
      </c>
      <c r="C10" s="523">
        <v>950000</v>
      </c>
      <c r="D10" s="523"/>
      <c r="E10" s="523"/>
      <c r="F10" s="523">
        <f t="shared" si="0"/>
        <v>950000</v>
      </c>
      <c r="G10" s="530"/>
      <c r="H10" s="523">
        <f t="shared" si="1"/>
        <v>950000</v>
      </c>
      <c r="I10" s="524">
        <v>461674</v>
      </c>
      <c r="J10" s="525">
        <v>488326</v>
      </c>
      <c r="K10" s="523"/>
      <c r="L10" s="523"/>
      <c r="M10" s="523"/>
      <c r="N10" s="523">
        <v>488326</v>
      </c>
      <c r="O10" s="530">
        <v>20540</v>
      </c>
      <c r="P10" s="530">
        <v>929460</v>
      </c>
      <c r="Q10" s="531"/>
      <c r="R10" s="530"/>
      <c r="S10" s="792"/>
      <c r="T10" s="792"/>
    </row>
    <row r="11" spans="1:20" ht="38.25" customHeight="1" x14ac:dyDescent="0.2">
      <c r="A11" s="528">
        <v>7</v>
      </c>
      <c r="B11" s="529" t="s">
        <v>303</v>
      </c>
      <c r="C11" s="523">
        <v>456760</v>
      </c>
      <c r="D11" s="523"/>
      <c r="E11" s="523"/>
      <c r="F11" s="523">
        <f t="shared" si="0"/>
        <v>456760</v>
      </c>
      <c r="G11" s="523"/>
      <c r="H11" s="523">
        <f t="shared" si="1"/>
        <v>456760</v>
      </c>
      <c r="I11" s="524">
        <v>40844</v>
      </c>
      <c r="J11" s="525">
        <v>390916</v>
      </c>
      <c r="K11" s="523"/>
      <c r="L11" s="523"/>
      <c r="M11" s="523"/>
      <c r="N11" s="523">
        <v>390916</v>
      </c>
      <c r="O11" s="530">
        <v>22622</v>
      </c>
      <c r="P11" s="530">
        <v>409138</v>
      </c>
      <c r="Q11" s="531">
        <v>25000</v>
      </c>
      <c r="R11" s="530">
        <v>25000</v>
      </c>
      <c r="S11" s="443"/>
      <c r="T11" s="590"/>
    </row>
    <row r="12" spans="1:20" ht="53.25" customHeight="1" x14ac:dyDescent="0.2">
      <c r="A12" s="528">
        <v>9</v>
      </c>
      <c r="B12" s="535" t="s">
        <v>297</v>
      </c>
      <c r="C12" s="536">
        <v>394925</v>
      </c>
      <c r="D12" s="536"/>
      <c r="E12" s="536"/>
      <c r="F12" s="523">
        <f t="shared" si="0"/>
        <v>394925</v>
      </c>
      <c r="G12" s="523">
        <v>6163</v>
      </c>
      <c r="H12" s="523">
        <f t="shared" si="1"/>
        <v>401088</v>
      </c>
      <c r="I12" s="524">
        <v>35748</v>
      </c>
      <c r="J12" s="525">
        <v>365340</v>
      </c>
      <c r="K12" s="536"/>
      <c r="L12" s="536"/>
      <c r="M12" s="536"/>
      <c r="N12" s="536">
        <v>365340</v>
      </c>
      <c r="O12" s="530">
        <v>26201</v>
      </c>
      <c r="P12" s="530">
        <v>368724</v>
      </c>
      <c r="Q12" s="531"/>
      <c r="R12" s="530"/>
      <c r="S12" s="443"/>
      <c r="T12" s="590"/>
    </row>
    <row r="13" spans="1:20" ht="38.25" customHeight="1" x14ac:dyDescent="0.2">
      <c r="A13" s="528">
        <v>10</v>
      </c>
      <c r="B13" s="537" t="s">
        <v>250</v>
      </c>
      <c r="C13" s="538">
        <v>2323382</v>
      </c>
      <c r="D13" s="538"/>
      <c r="E13" s="538">
        <v>189328</v>
      </c>
      <c r="F13" s="523">
        <f t="shared" si="0"/>
        <v>2512710</v>
      </c>
      <c r="G13" s="523"/>
      <c r="H13" s="523">
        <v>2512710</v>
      </c>
      <c r="I13" s="524">
        <v>2034670</v>
      </c>
      <c r="J13" s="534">
        <v>478040</v>
      </c>
      <c r="K13" s="538"/>
      <c r="L13" s="538">
        <v>45147</v>
      </c>
      <c r="M13" s="538"/>
      <c r="N13" s="538">
        <v>432893</v>
      </c>
      <c r="O13" s="530">
        <v>349076</v>
      </c>
      <c r="P13" s="530">
        <v>1050924</v>
      </c>
      <c r="Q13" s="531">
        <v>7000</v>
      </c>
      <c r="R13" s="530"/>
      <c r="S13" s="443"/>
      <c r="T13" s="590"/>
    </row>
    <row r="14" spans="1:20" ht="37.5" customHeight="1" x14ac:dyDescent="0.2">
      <c r="A14" s="528">
        <v>11</v>
      </c>
      <c r="B14" s="537" t="s">
        <v>711</v>
      </c>
      <c r="C14" s="538">
        <v>203400</v>
      </c>
      <c r="D14" s="538"/>
      <c r="E14" s="538">
        <v>53350</v>
      </c>
      <c r="F14" s="523">
        <f t="shared" si="0"/>
        <v>256750</v>
      </c>
      <c r="G14" s="523"/>
      <c r="H14" s="523">
        <f>SUM(F14:G14)</f>
        <v>256750</v>
      </c>
      <c r="I14" s="524">
        <v>20040</v>
      </c>
      <c r="J14" s="525">
        <v>225960</v>
      </c>
      <c r="K14" s="538"/>
      <c r="L14" s="538">
        <v>46978</v>
      </c>
      <c r="M14" s="538"/>
      <c r="N14" s="538">
        <v>178982</v>
      </c>
      <c r="O14" s="530">
        <v>298005</v>
      </c>
      <c r="P14" s="530">
        <v>176995</v>
      </c>
      <c r="Q14" s="531">
        <v>25000</v>
      </c>
      <c r="R14" s="530">
        <v>10750</v>
      </c>
      <c r="S14" s="443"/>
      <c r="T14" s="590"/>
    </row>
    <row r="15" spans="1:20" ht="50.25" customHeight="1" x14ac:dyDescent="0.2">
      <c r="A15" s="528">
        <v>12</v>
      </c>
      <c r="B15" s="537" t="s">
        <v>291</v>
      </c>
      <c r="C15" s="538">
        <v>193015</v>
      </c>
      <c r="D15" s="538"/>
      <c r="E15" s="538"/>
      <c r="F15" s="523">
        <f t="shared" si="0"/>
        <v>193015</v>
      </c>
      <c r="G15" s="523">
        <v>1932</v>
      </c>
      <c r="H15" s="523">
        <f t="shared" si="1"/>
        <v>194947</v>
      </c>
      <c r="I15" s="524">
        <v>106499</v>
      </c>
      <c r="J15" s="525">
        <v>88448</v>
      </c>
      <c r="K15" s="538"/>
      <c r="L15" s="538"/>
      <c r="M15" s="538"/>
      <c r="N15" s="538">
        <v>88448</v>
      </c>
      <c r="O15" s="530">
        <v>11838</v>
      </c>
      <c r="P15" s="530">
        <v>181177</v>
      </c>
      <c r="Q15" s="531">
        <v>6985</v>
      </c>
      <c r="R15" s="530"/>
      <c r="S15" s="443"/>
      <c r="T15" s="590"/>
    </row>
    <row r="16" spans="1:20" ht="65.25" customHeight="1" x14ac:dyDescent="0.2">
      <c r="A16" s="528">
        <v>13</v>
      </c>
      <c r="B16" s="539" t="s">
        <v>302</v>
      </c>
      <c r="C16" s="538">
        <v>83320</v>
      </c>
      <c r="D16" s="538"/>
      <c r="E16" s="538"/>
      <c r="F16" s="523">
        <f t="shared" si="0"/>
        <v>83320</v>
      </c>
      <c r="G16" s="523"/>
      <c r="H16" s="523">
        <f t="shared" si="1"/>
        <v>83320</v>
      </c>
      <c r="I16" s="524">
        <v>74632</v>
      </c>
      <c r="J16" s="525">
        <v>8688</v>
      </c>
      <c r="K16" s="538"/>
      <c r="L16" s="538"/>
      <c r="M16" s="538"/>
      <c r="N16" s="538">
        <v>8688</v>
      </c>
      <c r="O16" s="530">
        <v>54580</v>
      </c>
      <c r="P16" s="530">
        <v>28740</v>
      </c>
      <c r="Q16" s="531"/>
      <c r="R16" s="530"/>
      <c r="S16" s="443"/>
      <c r="T16" s="590"/>
    </row>
    <row r="17" spans="1:20" ht="37.5" customHeight="1" x14ac:dyDescent="0.2">
      <c r="A17" s="528">
        <v>14</v>
      </c>
      <c r="B17" s="539" t="s">
        <v>298</v>
      </c>
      <c r="C17" s="538">
        <v>221448</v>
      </c>
      <c r="D17" s="538"/>
      <c r="E17" s="538"/>
      <c r="F17" s="523">
        <f t="shared" si="0"/>
        <v>221448</v>
      </c>
      <c r="G17" s="523">
        <v>16176</v>
      </c>
      <c r="H17" s="523">
        <f>SUM(F17:G17)</f>
        <v>237624</v>
      </c>
      <c r="I17" s="524">
        <v>206325</v>
      </c>
      <c r="J17" s="525">
        <v>31299</v>
      </c>
      <c r="K17" s="538"/>
      <c r="L17" s="538"/>
      <c r="M17" s="538"/>
      <c r="N17" s="538">
        <v>31299</v>
      </c>
      <c r="O17" s="530">
        <v>12179</v>
      </c>
      <c r="P17" s="530">
        <v>209269</v>
      </c>
      <c r="Q17" s="531">
        <v>10552</v>
      </c>
      <c r="R17" s="530"/>
      <c r="S17" s="443"/>
      <c r="T17" s="590"/>
    </row>
    <row r="18" spans="1:20" ht="63" customHeight="1" x14ac:dyDescent="0.2">
      <c r="A18" s="528">
        <v>15</v>
      </c>
      <c r="B18" s="539" t="s">
        <v>299</v>
      </c>
      <c r="C18" s="538">
        <v>238749</v>
      </c>
      <c r="D18" s="538"/>
      <c r="E18" s="538"/>
      <c r="F18" s="523">
        <f t="shared" si="0"/>
        <v>238749</v>
      </c>
      <c r="G18" s="523">
        <v>30689</v>
      </c>
      <c r="H18" s="523">
        <f>SUM(F18:G18)</f>
        <v>269438</v>
      </c>
      <c r="I18" s="524">
        <v>268339</v>
      </c>
      <c r="J18" s="525">
        <v>1099</v>
      </c>
      <c r="K18" s="538"/>
      <c r="L18" s="538"/>
      <c r="M18" s="538"/>
      <c r="N18" s="538">
        <v>1099</v>
      </c>
      <c r="O18" s="530">
        <v>122348</v>
      </c>
      <c r="P18" s="530">
        <v>116401</v>
      </c>
      <c r="Q18" s="531"/>
      <c r="R18" s="530"/>
      <c r="S18" s="443"/>
      <c r="T18" s="590"/>
    </row>
    <row r="19" spans="1:20" ht="53.25" customHeight="1" x14ac:dyDescent="0.2">
      <c r="A19" s="528">
        <v>16</v>
      </c>
      <c r="B19" s="539" t="s">
        <v>293</v>
      </c>
      <c r="C19" s="538">
        <v>149996</v>
      </c>
      <c r="D19" s="538"/>
      <c r="E19" s="538"/>
      <c r="F19" s="523">
        <f t="shared" si="0"/>
        <v>149996</v>
      </c>
      <c r="G19" s="523">
        <v>4471</v>
      </c>
      <c r="H19" s="523">
        <f t="shared" si="1"/>
        <v>154467</v>
      </c>
      <c r="I19" s="524">
        <v>137589</v>
      </c>
      <c r="J19" s="525">
        <v>2908</v>
      </c>
      <c r="K19" s="538">
        <v>2862</v>
      </c>
      <c r="L19" s="538"/>
      <c r="M19" s="538"/>
      <c r="N19" s="538">
        <v>46</v>
      </c>
      <c r="O19" s="530">
        <v>71601</v>
      </c>
      <c r="P19" s="530">
        <v>75533</v>
      </c>
      <c r="Q19" s="531"/>
      <c r="R19" s="530">
        <v>13970</v>
      </c>
      <c r="S19" s="443"/>
      <c r="T19" s="590"/>
    </row>
    <row r="20" spans="1:20" ht="36" customHeight="1" x14ac:dyDescent="0.2">
      <c r="A20" s="528">
        <v>17</v>
      </c>
      <c r="B20" s="539" t="s">
        <v>292</v>
      </c>
      <c r="C20" s="538">
        <v>314161</v>
      </c>
      <c r="D20" s="538"/>
      <c r="E20" s="538"/>
      <c r="F20" s="523">
        <f t="shared" si="0"/>
        <v>314161</v>
      </c>
      <c r="G20" s="523">
        <v>21333</v>
      </c>
      <c r="H20" s="523">
        <f>SUM(F20:G20)</f>
        <v>335494</v>
      </c>
      <c r="I20" s="524">
        <v>332486</v>
      </c>
      <c r="J20" s="534">
        <v>3008</v>
      </c>
      <c r="K20" s="538">
        <v>3008</v>
      </c>
      <c r="L20" s="538"/>
      <c r="M20" s="538"/>
      <c r="N20" s="538"/>
      <c r="O20" s="530">
        <v>171739</v>
      </c>
      <c r="P20" s="530">
        <v>142322</v>
      </c>
      <c r="Q20" s="531"/>
      <c r="R20" s="530"/>
      <c r="S20" s="443"/>
      <c r="T20" s="590"/>
    </row>
    <row r="21" spans="1:20" ht="27.75" customHeight="1" x14ac:dyDescent="0.2">
      <c r="A21" s="528">
        <v>18</v>
      </c>
      <c r="B21" s="25" t="s">
        <v>275</v>
      </c>
      <c r="C21" s="204">
        <v>1100000</v>
      </c>
      <c r="D21" s="204"/>
      <c r="E21" s="204"/>
      <c r="F21" s="523">
        <f t="shared" si="0"/>
        <v>1100000</v>
      </c>
      <c r="G21" s="523">
        <v>4724</v>
      </c>
      <c r="H21" s="523">
        <f t="shared" si="1"/>
        <v>1104724</v>
      </c>
      <c r="I21" s="524">
        <v>4724</v>
      </c>
      <c r="J21" s="525">
        <v>1088000</v>
      </c>
      <c r="K21" s="204">
        <v>1088000</v>
      </c>
      <c r="L21" s="204"/>
      <c r="M21" s="204"/>
      <c r="N21" s="204"/>
      <c r="O21" s="530"/>
      <c r="P21" s="530">
        <v>1088000</v>
      </c>
      <c r="Q21" s="531">
        <v>12000</v>
      </c>
      <c r="R21" s="530">
        <v>12000</v>
      </c>
      <c r="S21" s="443"/>
      <c r="T21" s="590"/>
    </row>
    <row r="22" spans="1:20" ht="41.25" customHeight="1" x14ac:dyDescent="0.2">
      <c r="A22" s="528">
        <v>19</v>
      </c>
      <c r="B22" s="540" t="s">
        <v>301</v>
      </c>
      <c r="C22" s="538">
        <v>1300000</v>
      </c>
      <c r="D22" s="538"/>
      <c r="E22" s="538"/>
      <c r="F22" s="523">
        <f t="shared" si="0"/>
        <v>1300000</v>
      </c>
      <c r="G22" s="523"/>
      <c r="H22" s="523">
        <f t="shared" si="1"/>
        <v>1300000</v>
      </c>
      <c r="I22" s="524">
        <v>30431</v>
      </c>
      <c r="J22" s="525">
        <v>1266763</v>
      </c>
      <c r="K22" s="538">
        <v>736422</v>
      </c>
      <c r="L22" s="538"/>
      <c r="M22" s="538"/>
      <c r="N22" s="538">
        <v>530341</v>
      </c>
      <c r="O22" s="530"/>
      <c r="P22" s="530">
        <v>1297194</v>
      </c>
      <c r="Q22" s="531">
        <v>2806</v>
      </c>
      <c r="R22" s="530">
        <v>2806</v>
      </c>
      <c r="S22" s="443"/>
      <c r="T22" s="590"/>
    </row>
    <row r="23" spans="1:20" ht="36" customHeight="1" x14ac:dyDescent="0.2">
      <c r="A23" s="528">
        <v>20</v>
      </c>
      <c r="B23" s="541" t="s">
        <v>277</v>
      </c>
      <c r="C23" s="542">
        <v>317000</v>
      </c>
      <c r="D23" s="543"/>
      <c r="E23" s="542">
        <v>89401</v>
      </c>
      <c r="F23" s="523">
        <f t="shared" si="0"/>
        <v>406401</v>
      </c>
      <c r="G23" s="523"/>
      <c r="H23" s="523">
        <v>406401</v>
      </c>
      <c r="I23" s="524">
        <v>192303</v>
      </c>
      <c r="J23" s="525">
        <v>214098</v>
      </c>
      <c r="K23" s="544"/>
      <c r="L23" s="544">
        <v>61806</v>
      </c>
      <c r="M23" s="544"/>
      <c r="N23" s="544">
        <v>152292</v>
      </c>
      <c r="O23" s="530"/>
      <c r="P23" s="530">
        <v>317000</v>
      </c>
      <c r="Q23" s="531"/>
      <c r="R23" s="530"/>
      <c r="S23" s="443"/>
      <c r="T23" s="590"/>
    </row>
    <row r="24" spans="1:20" ht="24" customHeight="1" x14ac:dyDescent="0.2">
      <c r="A24" s="528">
        <v>21</v>
      </c>
      <c r="B24" s="545" t="s">
        <v>712</v>
      </c>
      <c r="C24" s="542">
        <v>995283</v>
      </c>
      <c r="D24" s="538"/>
      <c r="E24" s="542">
        <v>261328</v>
      </c>
      <c r="F24" s="523">
        <f>SUM(C24:E24)</f>
        <v>1256611</v>
      </c>
      <c r="G24" s="523"/>
      <c r="H24" s="523">
        <f>SUM(F24:G24)</f>
        <v>1256611</v>
      </c>
      <c r="I24" s="524">
        <v>12927</v>
      </c>
      <c r="J24" s="525">
        <v>1187100</v>
      </c>
      <c r="K24" s="538"/>
      <c r="L24" s="538">
        <v>246976</v>
      </c>
      <c r="M24" s="538"/>
      <c r="N24" s="538">
        <v>940124</v>
      </c>
      <c r="O24" s="530"/>
      <c r="P24" s="530">
        <v>1348932</v>
      </c>
      <c r="Q24" s="531">
        <v>44554</v>
      </c>
      <c r="R24" s="530">
        <v>56584</v>
      </c>
      <c r="S24" s="443"/>
      <c r="T24" s="590"/>
    </row>
    <row r="25" spans="1:20" ht="36" customHeight="1" x14ac:dyDescent="0.2">
      <c r="A25" s="528">
        <v>22</v>
      </c>
      <c r="B25" s="546" t="s">
        <v>713</v>
      </c>
      <c r="C25" s="542">
        <v>600000</v>
      </c>
      <c r="D25" s="543"/>
      <c r="E25" s="542">
        <v>220338</v>
      </c>
      <c r="F25" s="523">
        <f t="shared" si="0"/>
        <v>820338</v>
      </c>
      <c r="G25" s="523"/>
      <c r="H25" s="523">
        <f>SUM(F25:G25)</f>
        <v>820338</v>
      </c>
      <c r="I25" s="524">
        <v>56686</v>
      </c>
      <c r="J25" s="525">
        <v>763652</v>
      </c>
      <c r="K25" s="544">
        <v>8000</v>
      </c>
      <c r="L25" s="544">
        <v>162483</v>
      </c>
      <c r="M25" s="544">
        <v>46000</v>
      </c>
      <c r="N25" s="544">
        <v>547169</v>
      </c>
      <c r="O25" s="530"/>
      <c r="P25" s="530">
        <v>592000</v>
      </c>
      <c r="Q25" s="531">
        <v>8000</v>
      </c>
      <c r="R25" s="530"/>
      <c r="S25" s="792"/>
      <c r="T25" s="792"/>
    </row>
    <row r="26" spans="1:20" ht="37.5" customHeight="1" x14ac:dyDescent="0.2">
      <c r="A26" s="528">
        <v>23</v>
      </c>
      <c r="B26" s="140" t="s">
        <v>233</v>
      </c>
      <c r="C26" s="542">
        <v>284132</v>
      </c>
      <c r="D26" s="204"/>
      <c r="E26" s="542"/>
      <c r="F26" s="523">
        <f t="shared" si="0"/>
        <v>284132</v>
      </c>
      <c r="G26" s="523">
        <v>17104</v>
      </c>
      <c r="H26" s="523">
        <f t="shared" si="1"/>
        <v>301236</v>
      </c>
      <c r="I26" s="524">
        <v>119550</v>
      </c>
      <c r="J26" s="525">
        <v>179170</v>
      </c>
      <c r="K26" s="204"/>
      <c r="L26" s="204"/>
      <c r="M26" s="204"/>
      <c r="N26" s="204">
        <v>179170</v>
      </c>
      <c r="O26" s="530"/>
      <c r="P26" s="530">
        <v>281616</v>
      </c>
      <c r="Q26" s="531">
        <v>2516</v>
      </c>
      <c r="R26" s="530">
        <v>2516</v>
      </c>
      <c r="S26" s="792"/>
      <c r="T26" s="792"/>
    </row>
    <row r="27" spans="1:20" ht="17.25" customHeight="1" x14ac:dyDescent="0.2">
      <c r="A27" s="528">
        <v>24</v>
      </c>
      <c r="B27" s="547" t="s">
        <v>338</v>
      </c>
      <c r="C27" s="543">
        <v>29202</v>
      </c>
      <c r="D27" s="543">
        <v>1500</v>
      </c>
      <c r="E27" s="543"/>
      <c r="F27" s="523">
        <f t="shared" si="0"/>
        <v>30702</v>
      </c>
      <c r="G27" s="548"/>
      <c r="H27" s="523">
        <f>SUM(F27:G27)</f>
        <v>30702</v>
      </c>
      <c r="I27" s="524">
        <v>25368</v>
      </c>
      <c r="J27" s="525">
        <v>5334</v>
      </c>
      <c r="K27" s="544"/>
      <c r="L27" s="544"/>
      <c r="M27" s="544"/>
      <c r="N27" s="544">
        <v>5334</v>
      </c>
      <c r="O27" s="530"/>
      <c r="P27" s="530"/>
      <c r="Q27" s="531"/>
      <c r="R27" s="530"/>
      <c r="S27" s="443"/>
      <c r="T27" s="590"/>
    </row>
    <row r="28" spans="1:20" ht="24" customHeight="1" x14ac:dyDescent="0.2">
      <c r="A28" s="528">
        <v>25</v>
      </c>
      <c r="B28" s="549" t="s">
        <v>120</v>
      </c>
      <c r="C28" s="550">
        <v>4982</v>
      </c>
      <c r="D28" s="551"/>
      <c r="E28" s="551"/>
      <c r="F28" s="523">
        <f t="shared" si="0"/>
        <v>4982</v>
      </c>
      <c r="G28" s="523"/>
      <c r="H28" s="552">
        <f t="shared" si="1"/>
        <v>4982</v>
      </c>
      <c r="I28" s="553">
        <v>504</v>
      </c>
      <c r="J28" s="525">
        <v>4478</v>
      </c>
      <c r="K28" s="544"/>
      <c r="L28" s="544"/>
      <c r="M28" s="544"/>
      <c r="N28" s="544">
        <v>4478</v>
      </c>
      <c r="O28" s="530"/>
      <c r="P28" s="530"/>
      <c r="Q28" s="531"/>
      <c r="R28" s="530"/>
      <c r="S28" s="443"/>
      <c r="T28" s="590"/>
    </row>
    <row r="29" spans="1:20" ht="29.25" customHeight="1" x14ac:dyDescent="0.2">
      <c r="A29" s="528">
        <v>26</v>
      </c>
      <c r="B29" s="136" t="s">
        <v>276</v>
      </c>
      <c r="C29" s="554">
        <v>41155</v>
      </c>
      <c r="D29" s="554">
        <v>2163</v>
      </c>
      <c r="E29" s="554"/>
      <c r="F29" s="523">
        <f t="shared" si="0"/>
        <v>43318</v>
      </c>
      <c r="G29" s="523"/>
      <c r="H29" s="523">
        <v>43318</v>
      </c>
      <c r="I29" s="524">
        <v>7332</v>
      </c>
      <c r="J29" s="525">
        <v>35986</v>
      </c>
      <c r="K29" s="204">
        <v>26873</v>
      </c>
      <c r="L29" s="204"/>
      <c r="M29" s="204"/>
      <c r="N29" s="204">
        <v>9113</v>
      </c>
      <c r="O29" s="530"/>
      <c r="P29" s="530"/>
      <c r="Q29" s="531"/>
      <c r="R29" s="530"/>
      <c r="S29" s="443"/>
      <c r="T29" s="590"/>
    </row>
    <row r="30" spans="1:20" ht="51" customHeight="1" x14ac:dyDescent="0.2">
      <c r="A30" s="528">
        <v>27</v>
      </c>
      <c r="B30" s="549" t="s">
        <v>164</v>
      </c>
      <c r="C30" s="551">
        <v>296600</v>
      </c>
      <c r="D30" s="551"/>
      <c r="E30" s="550">
        <v>72452</v>
      </c>
      <c r="F30" s="523">
        <f t="shared" si="0"/>
        <v>369052</v>
      </c>
      <c r="G30" s="523"/>
      <c r="H30" s="523">
        <f t="shared" si="1"/>
        <v>369052</v>
      </c>
      <c r="I30" s="524">
        <v>19189</v>
      </c>
      <c r="J30" s="228">
        <v>335613</v>
      </c>
      <c r="K30" s="544"/>
      <c r="L30" s="544">
        <v>71351</v>
      </c>
      <c r="M30" s="544"/>
      <c r="N30" s="544">
        <v>264262</v>
      </c>
      <c r="O30" s="530"/>
      <c r="P30" s="530"/>
      <c r="Q30" s="531"/>
      <c r="R30" s="530">
        <v>14250</v>
      </c>
      <c r="S30" s="443"/>
      <c r="T30" s="590"/>
    </row>
    <row r="31" spans="1:20" ht="29.25" customHeight="1" x14ac:dyDescent="0.2">
      <c r="A31" s="528">
        <v>28</v>
      </c>
      <c r="B31" s="191" t="s">
        <v>165</v>
      </c>
      <c r="C31" s="554">
        <v>332490</v>
      </c>
      <c r="D31" s="554"/>
      <c r="E31" s="550"/>
      <c r="F31" s="523">
        <f t="shared" si="0"/>
        <v>332490</v>
      </c>
      <c r="G31" s="523">
        <v>2626</v>
      </c>
      <c r="H31" s="523">
        <f t="shared" si="1"/>
        <v>335116</v>
      </c>
      <c r="I31" s="524">
        <v>12074</v>
      </c>
      <c r="J31" s="228">
        <v>323042</v>
      </c>
      <c r="K31" s="204">
        <v>75990</v>
      </c>
      <c r="L31" s="204"/>
      <c r="M31" s="204"/>
      <c r="N31" s="204">
        <v>247052</v>
      </c>
      <c r="O31" s="530"/>
      <c r="P31" s="530"/>
      <c r="Q31" s="531"/>
      <c r="R31" s="530"/>
      <c r="S31" s="443"/>
      <c r="T31" s="590"/>
    </row>
    <row r="32" spans="1:20" ht="29.25" customHeight="1" x14ac:dyDescent="0.2">
      <c r="A32" s="528">
        <v>29</v>
      </c>
      <c r="B32" s="191" t="s">
        <v>166</v>
      </c>
      <c r="C32" s="554">
        <v>256600</v>
      </c>
      <c r="D32" s="554">
        <v>54888</v>
      </c>
      <c r="E32" s="555"/>
      <c r="F32" s="523">
        <f t="shared" si="0"/>
        <v>311488</v>
      </c>
      <c r="G32" s="523"/>
      <c r="H32" s="523">
        <f t="shared" si="1"/>
        <v>311488</v>
      </c>
      <c r="I32" s="524">
        <v>12459</v>
      </c>
      <c r="J32" s="228">
        <v>299029</v>
      </c>
      <c r="K32" s="204"/>
      <c r="L32" s="204"/>
      <c r="M32" s="204">
        <v>54888</v>
      </c>
      <c r="N32" s="204">
        <v>244141</v>
      </c>
      <c r="O32" s="530"/>
      <c r="P32" s="530"/>
      <c r="Q32" s="531"/>
      <c r="R32" s="530"/>
      <c r="S32" s="443"/>
      <c r="T32" s="590"/>
    </row>
    <row r="33" spans="1:20" ht="29.25" customHeight="1" x14ac:dyDescent="0.2">
      <c r="A33" s="528">
        <v>30</v>
      </c>
      <c r="B33" s="191" t="s">
        <v>167</v>
      </c>
      <c r="C33" s="554">
        <v>303933</v>
      </c>
      <c r="D33" s="554"/>
      <c r="E33" s="555"/>
      <c r="F33" s="523">
        <f t="shared" si="0"/>
        <v>303933</v>
      </c>
      <c r="G33" s="523">
        <v>14085</v>
      </c>
      <c r="H33" s="523">
        <f t="shared" si="1"/>
        <v>318018</v>
      </c>
      <c r="I33" s="524">
        <v>164929</v>
      </c>
      <c r="J33" s="228">
        <v>153089</v>
      </c>
      <c r="K33" s="204">
        <v>49333</v>
      </c>
      <c r="L33" s="204"/>
      <c r="M33" s="204"/>
      <c r="N33" s="204">
        <v>103756</v>
      </c>
      <c r="O33" s="530"/>
      <c r="P33" s="530"/>
      <c r="Q33" s="531"/>
      <c r="R33" s="530"/>
      <c r="S33" s="443"/>
      <c r="T33" s="590"/>
    </row>
    <row r="34" spans="1:20" ht="36.75" customHeight="1" x14ac:dyDescent="0.2">
      <c r="A34" s="528">
        <v>31</v>
      </c>
      <c r="B34" s="556" t="s">
        <v>714</v>
      </c>
      <c r="C34" s="550">
        <v>2862497</v>
      </c>
      <c r="D34" s="557">
        <v>429375</v>
      </c>
      <c r="E34" s="550">
        <v>888805</v>
      </c>
      <c r="F34" s="523">
        <f t="shared" si="0"/>
        <v>4180677</v>
      </c>
      <c r="G34" s="523">
        <v>3328</v>
      </c>
      <c r="H34" s="523">
        <f t="shared" si="1"/>
        <v>4184005</v>
      </c>
      <c r="I34" s="524">
        <v>1712778</v>
      </c>
      <c r="J34" s="228">
        <v>2471227</v>
      </c>
      <c r="K34" s="204">
        <v>1324735</v>
      </c>
      <c r="L34" s="204">
        <v>527999</v>
      </c>
      <c r="M34" s="204"/>
      <c r="N34" s="204">
        <v>618493</v>
      </c>
      <c r="O34" s="530"/>
      <c r="P34" s="530"/>
      <c r="Q34" s="531"/>
      <c r="R34" s="530"/>
      <c r="S34" s="443"/>
      <c r="T34" s="590"/>
    </row>
    <row r="35" spans="1:20" ht="36.75" customHeight="1" x14ac:dyDescent="0.2">
      <c r="A35" s="528">
        <v>32</v>
      </c>
      <c r="B35" s="140" t="s">
        <v>1210</v>
      </c>
      <c r="C35" s="550">
        <v>8667</v>
      </c>
      <c r="D35" s="557"/>
      <c r="E35" s="550"/>
      <c r="F35" s="523">
        <v>8667</v>
      </c>
      <c r="G35" s="523"/>
      <c r="H35" s="523">
        <v>8667</v>
      </c>
      <c r="I35" s="524"/>
      <c r="J35" s="228">
        <v>8667</v>
      </c>
      <c r="K35" s="204"/>
      <c r="L35" s="204"/>
      <c r="M35" s="204"/>
      <c r="N35" s="204">
        <v>8667</v>
      </c>
      <c r="O35" s="530"/>
      <c r="P35" s="530"/>
      <c r="Q35" s="531"/>
      <c r="R35" s="530"/>
      <c r="S35" s="443"/>
      <c r="T35" s="590"/>
    </row>
    <row r="36" spans="1:20" ht="36.75" customHeight="1" x14ac:dyDescent="0.2">
      <c r="A36" s="528">
        <v>33</v>
      </c>
      <c r="B36" s="138" t="s">
        <v>1212</v>
      </c>
      <c r="C36" s="550">
        <v>138000</v>
      </c>
      <c r="D36" s="557"/>
      <c r="E36" s="550"/>
      <c r="F36" s="523">
        <v>138000</v>
      </c>
      <c r="G36" s="523">
        <v>33888</v>
      </c>
      <c r="H36" s="523">
        <f>SUM(F36:G36)</f>
        <v>171888</v>
      </c>
      <c r="I36" s="524">
        <v>46488</v>
      </c>
      <c r="J36" s="228">
        <v>125400</v>
      </c>
      <c r="K36" s="204">
        <v>492</v>
      </c>
      <c r="L36" s="204"/>
      <c r="M36" s="204">
        <v>31188</v>
      </c>
      <c r="N36" s="204">
        <v>93720</v>
      </c>
      <c r="O36" s="530"/>
      <c r="P36" s="530"/>
      <c r="Q36" s="531"/>
      <c r="R36" s="530"/>
      <c r="S36" s="443"/>
      <c r="T36" s="590"/>
    </row>
    <row r="37" spans="1:20" s="560" customFormat="1" ht="36.75" customHeight="1" x14ac:dyDescent="0.2">
      <c r="A37" s="528">
        <v>34</v>
      </c>
      <c r="B37" s="137" t="s">
        <v>1264</v>
      </c>
      <c r="C37" s="550">
        <v>20000</v>
      </c>
      <c r="D37" s="557"/>
      <c r="E37" s="550"/>
      <c r="F37" s="523">
        <v>20000</v>
      </c>
      <c r="G37" s="523"/>
      <c r="H37" s="523">
        <v>20000</v>
      </c>
      <c r="I37" s="524">
        <v>953</v>
      </c>
      <c r="J37" s="228">
        <v>19047</v>
      </c>
      <c r="K37" s="204"/>
      <c r="L37" s="204"/>
      <c r="M37" s="204"/>
      <c r="N37" s="204">
        <v>19047</v>
      </c>
      <c r="O37" s="558"/>
      <c r="P37" s="558"/>
      <c r="Q37" s="559"/>
      <c r="R37" s="558"/>
      <c r="S37" s="593"/>
      <c r="T37" s="594"/>
    </row>
    <row r="38" spans="1:20" ht="36.75" customHeight="1" x14ac:dyDescent="0.2">
      <c r="A38" s="528">
        <v>35</v>
      </c>
      <c r="B38" s="200" t="s">
        <v>1127</v>
      </c>
      <c r="C38" s="550">
        <v>153816</v>
      </c>
      <c r="D38" s="557">
        <v>634</v>
      </c>
      <c r="E38" s="550">
        <v>41530</v>
      </c>
      <c r="F38" s="523">
        <f>SUM(C38:E38)</f>
        <v>195980</v>
      </c>
      <c r="G38" s="523"/>
      <c r="H38" s="523">
        <v>195980</v>
      </c>
      <c r="I38" s="524"/>
      <c r="J38" s="228">
        <v>195980</v>
      </c>
      <c r="K38" s="204">
        <v>153815</v>
      </c>
      <c r="L38" s="204">
        <v>41530</v>
      </c>
      <c r="M38" s="204"/>
      <c r="N38" s="204">
        <v>635</v>
      </c>
      <c r="O38" s="530"/>
      <c r="P38" s="530"/>
      <c r="Q38" s="531"/>
      <c r="R38" s="530"/>
      <c r="S38" s="443"/>
      <c r="T38" s="590"/>
    </row>
    <row r="39" spans="1:20" ht="24" customHeight="1" x14ac:dyDescent="0.2">
      <c r="A39" s="528"/>
      <c r="B39" s="561" t="s">
        <v>715</v>
      </c>
      <c r="C39" s="562">
        <f t="shared" ref="C39:H39" si="2">SUM(C5:C38)</f>
        <v>16632467</v>
      </c>
      <c r="D39" s="562">
        <f t="shared" si="2"/>
        <v>509452</v>
      </c>
      <c r="E39" s="562">
        <f t="shared" si="2"/>
        <v>1816532</v>
      </c>
      <c r="F39" s="562">
        <f t="shared" si="2"/>
        <v>18958451</v>
      </c>
      <c r="G39" s="562">
        <f t="shared" si="2"/>
        <v>181842</v>
      </c>
      <c r="H39" s="562">
        <f t="shared" si="2"/>
        <v>19140293</v>
      </c>
      <c r="I39" s="563">
        <f>SUM(I4:I38)</f>
        <v>7126918</v>
      </c>
      <c r="J39" s="563">
        <f>SUM(J5:J38)</f>
        <v>11871499</v>
      </c>
      <c r="K39" s="563">
        <f>SUM(K5:K38)</f>
        <v>3469530</v>
      </c>
      <c r="L39" s="563">
        <f t="shared" ref="L39:R39" si="3">SUM(L5:L38)</f>
        <v>1204270</v>
      </c>
      <c r="M39" s="563">
        <f t="shared" si="3"/>
        <v>132076</v>
      </c>
      <c r="N39" s="563">
        <f t="shared" si="3"/>
        <v>7065623</v>
      </c>
      <c r="O39" s="563">
        <f t="shared" si="3"/>
        <v>1922305</v>
      </c>
      <c r="P39" s="563">
        <f t="shared" si="3"/>
        <v>9906804</v>
      </c>
      <c r="Q39" s="563">
        <f t="shared" si="3"/>
        <v>148413</v>
      </c>
      <c r="R39" s="563">
        <f t="shared" si="3"/>
        <v>141876</v>
      </c>
      <c r="S39" s="443"/>
      <c r="T39" s="590"/>
    </row>
    <row r="40" spans="1:20" ht="17.25" customHeight="1" x14ac:dyDescent="0.2">
      <c r="A40" s="564"/>
      <c r="B40" s="565" t="s">
        <v>716</v>
      </c>
      <c r="C40" s="566"/>
      <c r="D40" s="566"/>
      <c r="E40" s="566"/>
      <c r="F40" s="523"/>
      <c r="G40" s="548"/>
      <c r="H40" s="523"/>
      <c r="I40" s="524"/>
      <c r="J40" s="567"/>
      <c r="K40" s="566"/>
      <c r="L40" s="566"/>
      <c r="M40" s="566"/>
      <c r="N40" s="566"/>
      <c r="O40" s="568"/>
      <c r="P40" s="568"/>
      <c r="Q40" s="569"/>
      <c r="R40" s="568"/>
    </row>
    <row r="41" spans="1:20" ht="24" x14ac:dyDescent="0.2">
      <c r="A41" s="528">
        <v>36</v>
      </c>
      <c r="B41" s="587" t="s">
        <v>717</v>
      </c>
      <c r="C41" s="10"/>
      <c r="D41" s="10"/>
      <c r="E41" s="10"/>
      <c r="F41" s="523"/>
      <c r="G41" s="548"/>
      <c r="H41" s="523"/>
      <c r="I41" s="524"/>
      <c r="J41" s="228"/>
      <c r="K41" s="10"/>
      <c r="L41" s="10"/>
      <c r="M41" s="10"/>
      <c r="N41" s="10"/>
      <c r="O41" s="570"/>
      <c r="P41" s="571"/>
      <c r="Q41" s="572"/>
      <c r="R41" s="571"/>
    </row>
    <row r="42" spans="1:20" ht="24" x14ac:dyDescent="0.2">
      <c r="A42" s="528"/>
      <c r="B42" s="588" t="s">
        <v>718</v>
      </c>
      <c r="C42" s="10">
        <v>21300</v>
      </c>
      <c r="D42" s="10"/>
      <c r="E42" s="10"/>
      <c r="F42" s="523">
        <f>SUM(C42:E42)</f>
        <v>21300</v>
      </c>
      <c r="G42" s="548"/>
      <c r="H42" s="523">
        <f t="shared" ref="H42:H49" si="4">SUM(F42:G42)</f>
        <v>21300</v>
      </c>
      <c r="I42" s="524">
        <v>20239</v>
      </c>
      <c r="J42" s="228">
        <v>1061</v>
      </c>
      <c r="K42" s="10"/>
      <c r="L42" s="10"/>
      <c r="M42" s="10"/>
      <c r="N42" s="10">
        <v>1061</v>
      </c>
      <c r="O42" s="570"/>
      <c r="P42" s="571"/>
      <c r="Q42" s="572"/>
      <c r="R42" s="571"/>
    </row>
    <row r="43" spans="1:20" ht="24" x14ac:dyDescent="0.2">
      <c r="A43" s="528">
        <v>37</v>
      </c>
      <c r="B43" s="587" t="s">
        <v>719</v>
      </c>
      <c r="C43" s="573"/>
      <c r="D43" s="573"/>
      <c r="E43" s="573"/>
      <c r="F43" s="574"/>
      <c r="G43" s="575"/>
      <c r="H43" s="574"/>
      <c r="I43" s="576"/>
      <c r="J43" s="577"/>
      <c r="K43" s="573"/>
      <c r="L43" s="573"/>
      <c r="M43" s="573"/>
      <c r="N43" s="573"/>
      <c r="O43" s="578"/>
      <c r="P43" s="579"/>
      <c r="Q43" s="580"/>
      <c r="R43" s="579"/>
    </row>
    <row r="44" spans="1:20" ht="24" x14ac:dyDescent="0.2">
      <c r="A44" s="528"/>
      <c r="B44" s="589" t="s">
        <v>720</v>
      </c>
      <c r="C44" s="10">
        <v>95096</v>
      </c>
      <c r="D44" s="10"/>
      <c r="E44" s="10"/>
      <c r="F44" s="523">
        <f>SUM(C44:E44)</f>
        <v>95096</v>
      </c>
      <c r="G44" s="575"/>
      <c r="H44" s="523">
        <f t="shared" si="4"/>
        <v>95096</v>
      </c>
      <c r="I44" s="524">
        <v>46976</v>
      </c>
      <c r="J44" s="228">
        <v>3357</v>
      </c>
      <c r="K44" s="10"/>
      <c r="L44" s="10"/>
      <c r="M44" s="10"/>
      <c r="N44" s="10">
        <v>3357</v>
      </c>
      <c r="O44" s="570"/>
      <c r="P44" s="571"/>
      <c r="Q44" s="572"/>
      <c r="R44" s="571">
        <v>44763</v>
      </c>
    </row>
    <row r="45" spans="1:20" ht="24" x14ac:dyDescent="0.2">
      <c r="A45" s="528"/>
      <c r="B45" s="589" t="s">
        <v>721</v>
      </c>
      <c r="C45" s="10">
        <v>155953</v>
      </c>
      <c r="D45" s="10"/>
      <c r="E45" s="10"/>
      <c r="F45" s="523">
        <f>SUM(C45:E45)</f>
        <v>155953</v>
      </c>
      <c r="G45" s="575"/>
      <c r="H45" s="523">
        <f t="shared" si="4"/>
        <v>155953</v>
      </c>
      <c r="I45" s="524">
        <v>20462</v>
      </c>
      <c r="J45" s="228">
        <v>110403</v>
      </c>
      <c r="K45" s="10">
        <v>110403</v>
      </c>
      <c r="L45" s="10"/>
      <c r="M45" s="10"/>
      <c r="N45" s="10"/>
      <c r="O45" s="570"/>
      <c r="P45" s="571"/>
      <c r="Q45" s="572"/>
      <c r="R45" s="571">
        <v>25088</v>
      </c>
    </row>
    <row r="46" spans="1:20" ht="36" x14ac:dyDescent="0.2">
      <c r="A46" s="528"/>
      <c r="B46" s="589" t="s">
        <v>722</v>
      </c>
      <c r="C46" s="10">
        <v>33000</v>
      </c>
      <c r="D46" s="10"/>
      <c r="E46" s="10"/>
      <c r="F46" s="523">
        <f>SUM(C46:E46)</f>
        <v>33000</v>
      </c>
      <c r="G46" s="575"/>
      <c r="H46" s="523">
        <f t="shared" si="4"/>
        <v>33000</v>
      </c>
      <c r="I46" s="576"/>
      <c r="J46" s="228">
        <v>33000</v>
      </c>
      <c r="K46" s="10">
        <v>33000</v>
      </c>
      <c r="L46" s="10"/>
      <c r="M46" s="10"/>
      <c r="N46" s="10"/>
      <c r="O46" s="570"/>
      <c r="P46" s="571"/>
      <c r="Q46" s="572"/>
      <c r="R46" s="571"/>
    </row>
    <row r="47" spans="1:20" ht="21" customHeight="1" x14ac:dyDescent="0.2">
      <c r="A47" s="528">
        <v>38</v>
      </c>
      <c r="B47" s="587" t="s">
        <v>723</v>
      </c>
      <c r="C47" s="573"/>
      <c r="D47" s="573"/>
      <c r="E47" s="573"/>
      <c r="F47" s="574"/>
      <c r="G47" s="575"/>
      <c r="H47" s="574"/>
      <c r="I47" s="576"/>
      <c r="J47" s="577"/>
      <c r="K47" s="573"/>
      <c r="L47" s="573"/>
      <c r="M47" s="573"/>
      <c r="N47" s="573"/>
      <c r="O47" s="578"/>
      <c r="P47" s="579"/>
      <c r="Q47" s="580"/>
      <c r="R47" s="579"/>
    </row>
    <row r="48" spans="1:20" x14ac:dyDescent="0.2">
      <c r="A48" s="528"/>
      <c r="B48" s="581" t="s">
        <v>724</v>
      </c>
      <c r="C48" s="10">
        <v>31133</v>
      </c>
      <c r="D48" s="10"/>
      <c r="E48" s="10"/>
      <c r="F48" s="523">
        <f>SUM(C48:E48)</f>
        <v>31133</v>
      </c>
      <c r="G48" s="548"/>
      <c r="H48" s="523">
        <f t="shared" si="4"/>
        <v>31133</v>
      </c>
      <c r="I48" s="524">
        <v>20151</v>
      </c>
      <c r="J48" s="228">
        <v>10982</v>
      </c>
      <c r="K48" s="10">
        <v>8863</v>
      </c>
      <c r="L48" s="10"/>
      <c r="M48" s="573"/>
      <c r="N48" s="10">
        <v>2119</v>
      </c>
      <c r="O48" s="578"/>
      <c r="P48" s="579"/>
      <c r="Q48" s="580"/>
      <c r="R48" s="579"/>
    </row>
    <row r="49" spans="1:18" ht="24" x14ac:dyDescent="0.2">
      <c r="A49" s="528"/>
      <c r="B49" s="581" t="s">
        <v>725</v>
      </c>
      <c r="C49" s="10">
        <v>30000</v>
      </c>
      <c r="D49" s="10"/>
      <c r="E49" s="10"/>
      <c r="F49" s="523">
        <f>SUM(C49:E49)</f>
        <v>30000</v>
      </c>
      <c r="G49" s="523"/>
      <c r="H49" s="523">
        <f t="shared" si="4"/>
        <v>30000</v>
      </c>
      <c r="I49" s="523">
        <v>26412</v>
      </c>
      <c r="J49" s="10">
        <v>3588</v>
      </c>
      <c r="K49" s="10">
        <v>540</v>
      </c>
      <c r="L49" s="10"/>
      <c r="M49" s="10"/>
      <c r="N49" s="10">
        <v>3048</v>
      </c>
      <c r="O49" s="570"/>
      <c r="P49" s="571"/>
      <c r="Q49" s="571"/>
      <c r="R49" s="571"/>
    </row>
    <row r="50" spans="1:18" ht="18.75" customHeight="1" x14ac:dyDescent="0.2">
      <c r="A50" s="528"/>
      <c r="B50" s="582" t="s">
        <v>130</v>
      </c>
      <c r="C50" s="360">
        <f>SUM(C41:C49)</f>
        <v>366482</v>
      </c>
      <c r="D50" s="360">
        <f t="shared" ref="D50:R50" si="5">SUM(D41:D49)</f>
        <v>0</v>
      </c>
      <c r="E50" s="360">
        <f t="shared" si="5"/>
        <v>0</v>
      </c>
      <c r="F50" s="360">
        <f t="shared" si="5"/>
        <v>366482</v>
      </c>
      <c r="G50" s="360">
        <f t="shared" si="5"/>
        <v>0</v>
      </c>
      <c r="H50" s="360">
        <f t="shared" si="5"/>
        <v>366482</v>
      </c>
      <c r="I50" s="360">
        <f t="shared" si="5"/>
        <v>134240</v>
      </c>
      <c r="J50" s="360">
        <f t="shared" si="5"/>
        <v>162391</v>
      </c>
      <c r="K50" s="360">
        <f t="shared" si="5"/>
        <v>152806</v>
      </c>
      <c r="L50" s="360"/>
      <c r="M50" s="360">
        <f t="shared" si="5"/>
        <v>0</v>
      </c>
      <c r="N50" s="360">
        <f t="shared" si="5"/>
        <v>9585</v>
      </c>
      <c r="O50" s="360">
        <f t="shared" si="5"/>
        <v>0</v>
      </c>
      <c r="P50" s="360">
        <f t="shared" si="5"/>
        <v>0</v>
      </c>
      <c r="Q50" s="360">
        <f t="shared" si="5"/>
        <v>0</v>
      </c>
      <c r="R50" s="360">
        <f t="shared" si="5"/>
        <v>69851</v>
      </c>
    </row>
    <row r="51" spans="1:18" ht="26.25" customHeight="1" x14ac:dyDescent="0.25">
      <c r="A51" s="583"/>
      <c r="B51" s="584" t="s">
        <v>726</v>
      </c>
      <c r="C51" s="585">
        <f>SUM(C39+C50)</f>
        <v>16998949</v>
      </c>
      <c r="D51" s="585">
        <f t="shared" ref="D51:R51" si="6">SUM(D39+D50)</f>
        <v>509452</v>
      </c>
      <c r="E51" s="585">
        <f t="shared" si="6"/>
        <v>1816532</v>
      </c>
      <c r="F51" s="585">
        <f t="shared" si="6"/>
        <v>19324933</v>
      </c>
      <c r="G51" s="585">
        <f t="shared" si="6"/>
        <v>181842</v>
      </c>
      <c r="H51" s="585">
        <f t="shared" si="6"/>
        <v>19506775</v>
      </c>
      <c r="I51" s="585">
        <f t="shared" si="6"/>
        <v>7261158</v>
      </c>
      <c r="J51" s="585">
        <f t="shared" si="6"/>
        <v>12033890</v>
      </c>
      <c r="K51" s="585">
        <f t="shared" si="6"/>
        <v>3622336</v>
      </c>
      <c r="L51" s="585">
        <f t="shared" si="6"/>
        <v>1204270</v>
      </c>
      <c r="M51" s="585">
        <f t="shared" si="6"/>
        <v>132076</v>
      </c>
      <c r="N51" s="585">
        <f t="shared" si="6"/>
        <v>7075208</v>
      </c>
      <c r="O51" s="585">
        <f t="shared" si="6"/>
        <v>1922305</v>
      </c>
      <c r="P51" s="585">
        <f t="shared" si="6"/>
        <v>9906804</v>
      </c>
      <c r="Q51" s="585">
        <f t="shared" si="6"/>
        <v>148413</v>
      </c>
      <c r="R51" s="585">
        <f t="shared" si="6"/>
        <v>211727</v>
      </c>
    </row>
  </sheetData>
  <mergeCells count="17">
    <mergeCell ref="F1:F3"/>
    <mergeCell ref="A1:A3"/>
    <mergeCell ref="B1:B3"/>
    <mergeCell ref="C1:C3"/>
    <mergeCell ref="D1:D3"/>
    <mergeCell ref="E1:E3"/>
    <mergeCell ref="S10:T10"/>
    <mergeCell ref="S25:T25"/>
    <mergeCell ref="S26:T26"/>
    <mergeCell ref="G1:G3"/>
    <mergeCell ref="H1:H3"/>
    <mergeCell ref="I1:I3"/>
    <mergeCell ref="J1:N1"/>
    <mergeCell ref="O1:Q1"/>
    <mergeCell ref="R1:R3"/>
    <mergeCell ref="J2:J3"/>
    <mergeCell ref="K2:N2"/>
  </mergeCells>
  <phoneticPr fontId="99" type="noConversion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>
    <oddHeader>&amp;CEurópai Uniós támogatással megvalósuló projektek tervezett költségei 2020. évben&amp;R11. melléklet
adatok E Ft-ban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4"/>
  <sheetViews>
    <sheetView workbookViewId="0">
      <selection activeCell="C6" sqref="C6"/>
    </sheetView>
  </sheetViews>
  <sheetFormatPr defaultColWidth="10.6640625" defaultRowHeight="12.75" x14ac:dyDescent="0.2"/>
  <cols>
    <col min="1" max="1" width="9.33203125" style="458" customWidth="1"/>
    <col min="2" max="2" width="32" style="458" customWidth="1"/>
    <col min="3" max="3" width="28" style="458" customWidth="1"/>
    <col min="4" max="4" width="10.6640625" style="458" customWidth="1"/>
    <col min="5" max="5" width="11.6640625" style="458" customWidth="1"/>
    <col min="6" max="16384" width="10.6640625" style="458"/>
  </cols>
  <sheetData>
    <row r="1" spans="2:5" ht="40.5" x14ac:dyDescent="0.2">
      <c r="B1" s="455" t="s">
        <v>1433</v>
      </c>
      <c r="C1" s="456" t="s">
        <v>101</v>
      </c>
      <c r="D1" s="457"/>
      <c r="E1" s="457"/>
    </row>
    <row r="2" spans="2:5" ht="41.25" customHeight="1" x14ac:dyDescent="0.2">
      <c r="B2" s="459" t="s">
        <v>1434</v>
      </c>
      <c r="C2" s="460" t="s">
        <v>1435</v>
      </c>
      <c r="D2" s="461"/>
      <c r="E2" s="462"/>
    </row>
    <row r="3" spans="2:5" ht="31.5" customHeight="1" x14ac:dyDescent="0.2">
      <c r="B3" s="459" t="s">
        <v>1436</v>
      </c>
      <c r="C3" s="463">
        <v>5100</v>
      </c>
      <c r="D3" s="461"/>
      <c r="E3" s="462"/>
    </row>
    <row r="4" spans="2:5" ht="32.25" customHeight="1" x14ac:dyDescent="0.2">
      <c r="B4" s="464" t="s">
        <v>1437</v>
      </c>
      <c r="C4" s="508">
        <v>82248</v>
      </c>
      <c r="D4" s="461"/>
      <c r="E4" s="462"/>
    </row>
    <row r="5" spans="2:5" ht="44.25" customHeight="1" x14ac:dyDescent="0.2">
      <c r="B5" s="464" t="s">
        <v>1438</v>
      </c>
      <c r="C5" s="508">
        <v>57774</v>
      </c>
      <c r="D5" s="461"/>
    </row>
    <row r="6" spans="2:5" ht="33.75" customHeight="1" x14ac:dyDescent="0.2">
      <c r="B6" s="459" t="s">
        <v>1439</v>
      </c>
      <c r="C6" s="465"/>
      <c r="D6" s="461"/>
      <c r="E6" s="462"/>
    </row>
    <row r="7" spans="2:5" ht="13.5" x14ac:dyDescent="0.25">
      <c r="B7" s="466" t="s">
        <v>140</v>
      </c>
      <c r="C7" s="467">
        <f>SUM(C2:C6)</f>
        <v>145122</v>
      </c>
      <c r="D7" s="457"/>
      <c r="E7" s="457"/>
    </row>
    <row r="8" spans="2:5" x14ac:dyDescent="0.2">
      <c r="B8" s="457"/>
      <c r="C8" s="468"/>
      <c r="D8" s="457"/>
      <c r="E8" s="457"/>
    </row>
    <row r="9" spans="2:5" x14ac:dyDescent="0.2">
      <c r="B9" s="457"/>
      <c r="C9" s="457"/>
      <c r="D9" s="457"/>
      <c r="E9" s="457"/>
    </row>
    <row r="10" spans="2:5" x14ac:dyDescent="0.2">
      <c r="B10" s="469" t="s">
        <v>1487</v>
      </c>
      <c r="C10" s="457"/>
      <c r="D10" s="457"/>
      <c r="E10" s="457"/>
    </row>
    <row r="11" spans="2:5" x14ac:dyDescent="0.2">
      <c r="B11" s="470" t="s">
        <v>90</v>
      </c>
      <c r="C11" s="470"/>
    </row>
    <row r="12" spans="2:5" x14ac:dyDescent="0.2">
      <c r="B12" s="470" t="s">
        <v>92</v>
      </c>
      <c r="C12" s="470"/>
    </row>
    <row r="13" spans="2:5" x14ac:dyDescent="0.2">
      <c r="B13" s="470" t="s">
        <v>91</v>
      </c>
    </row>
    <row r="14" spans="2:5" x14ac:dyDescent="0.2">
      <c r="B14" s="470"/>
    </row>
  </sheetData>
  <phoneticPr fontId="99" type="noConversion"/>
  <pageMargins left="0.78740157480314965" right="0.78740157480314965" top="2.1653543307086616" bottom="0.98425196850393704" header="1.4960629921259843" footer="0.51181102362204722"/>
  <pageSetup paperSize="9" orientation="portrait" horizontalDpi="300" verticalDpi="300" r:id="rId1"/>
  <headerFooter alignWithMargins="0">
    <oddHeader>&amp;C&amp;"Times New Roman CE,Félkövér dőlt"KÖZVETETETT TÁMOGATÁSOK JOGCÍMEI ÉS ÖSSZEGEI&amp;R&amp;"Times New Roman CE,Félkövér dőlt"12. melléklet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2"/>
  <sheetViews>
    <sheetView topLeftCell="A10" zoomScaleNormal="100" workbookViewId="0">
      <pane xSplit="1" topLeftCell="B1" activePane="topRight" state="frozen"/>
      <selection pane="topRight" activeCell="M3" sqref="M3"/>
    </sheetView>
  </sheetViews>
  <sheetFormatPr defaultColWidth="10.5" defaultRowHeight="12.75" x14ac:dyDescent="0.2"/>
  <cols>
    <col min="1" max="1" width="30.6640625" style="61" customWidth="1"/>
    <col min="2" max="2" width="10.5" style="61" customWidth="1"/>
    <col min="3" max="3" width="10.33203125" style="61" customWidth="1"/>
    <col min="4" max="11" width="11" style="61" bestFit="1" customWidth="1"/>
    <col min="12" max="12" width="10.33203125" style="61" customWidth="1"/>
    <col min="13" max="13" width="11" style="61" bestFit="1" customWidth="1"/>
    <col min="14" max="14" width="11.83203125" style="61" customWidth="1"/>
    <col min="15" max="237" width="9.33203125" style="61" customWidth="1"/>
    <col min="238" max="238" width="30.6640625" style="61" customWidth="1"/>
    <col min="239" max="239" width="10.5" style="61" customWidth="1"/>
    <col min="240" max="240" width="30.6640625" style="61" customWidth="1"/>
    <col min="241" max="241" width="10.5" style="61" customWidth="1"/>
    <col min="242" max="254" width="10.33203125" style="61" customWidth="1"/>
    <col min="255" max="255" width="30.6640625" style="61" customWidth="1"/>
    <col min="256" max="16384" width="10.5" style="61"/>
  </cols>
  <sheetData>
    <row r="1" spans="1:14" s="62" customFormat="1" ht="42" customHeight="1" x14ac:dyDescent="0.2">
      <c r="A1" s="70" t="s">
        <v>253</v>
      </c>
      <c r="B1" s="493" t="s">
        <v>1467</v>
      </c>
      <c r="C1" s="64" t="s">
        <v>1468</v>
      </c>
      <c r="D1" s="64" t="s">
        <v>1469</v>
      </c>
      <c r="E1" s="64" t="s">
        <v>1470</v>
      </c>
      <c r="F1" s="64" t="s">
        <v>1471</v>
      </c>
      <c r="G1" s="64" t="s">
        <v>1472</v>
      </c>
      <c r="H1" s="64" t="s">
        <v>1473</v>
      </c>
      <c r="I1" s="64" t="s">
        <v>1474</v>
      </c>
      <c r="J1" s="64" t="s">
        <v>1475</v>
      </c>
      <c r="K1" s="64" t="s">
        <v>1476</v>
      </c>
      <c r="L1" s="64" t="s">
        <v>1477</v>
      </c>
      <c r="M1" s="64" t="s">
        <v>1478</v>
      </c>
      <c r="N1" s="70" t="s">
        <v>254</v>
      </c>
    </row>
    <row r="2" spans="1:14" ht="18.75" customHeight="1" x14ac:dyDescent="0.2">
      <c r="A2" s="494" t="s">
        <v>1479</v>
      </c>
      <c r="B2" s="495">
        <v>3549471</v>
      </c>
      <c r="C2" s="65">
        <v>7720582</v>
      </c>
      <c r="D2" s="65">
        <v>4819649</v>
      </c>
      <c r="E2" s="65">
        <v>8205878</v>
      </c>
      <c r="F2" s="65">
        <v>4145968</v>
      </c>
      <c r="G2" s="65">
        <v>4843340</v>
      </c>
      <c r="H2" s="65">
        <v>4273033</v>
      </c>
      <c r="I2" s="65">
        <v>3565406</v>
      </c>
      <c r="J2" s="65">
        <v>7761205</v>
      </c>
      <c r="K2" s="65">
        <v>5095435</v>
      </c>
      <c r="L2" s="65">
        <v>4141387</v>
      </c>
      <c r="M2" s="65">
        <v>3923254</v>
      </c>
      <c r="N2" s="65">
        <f>SUM(B2:M2)</f>
        <v>62044608</v>
      </c>
    </row>
    <row r="3" spans="1:14" ht="18" customHeight="1" x14ac:dyDescent="0.2">
      <c r="A3" s="496" t="s">
        <v>1480</v>
      </c>
      <c r="B3" s="495"/>
      <c r="C3" s="65"/>
      <c r="D3" s="65"/>
      <c r="E3" s="497"/>
      <c r="F3" s="65"/>
      <c r="G3" s="65"/>
      <c r="H3" s="65"/>
      <c r="I3" s="65"/>
      <c r="J3" s="65"/>
      <c r="K3" s="65"/>
      <c r="L3" s="65"/>
      <c r="M3" s="65"/>
      <c r="N3" s="65"/>
    </row>
    <row r="4" spans="1:14" ht="19.5" customHeight="1" x14ac:dyDescent="0.2">
      <c r="A4" s="498" t="s">
        <v>255</v>
      </c>
      <c r="B4" s="495">
        <v>11600</v>
      </c>
      <c r="C4" s="65">
        <v>11600</v>
      </c>
      <c r="D4" s="65">
        <v>11600</v>
      </c>
      <c r="E4" s="65">
        <v>11600</v>
      </c>
      <c r="F4" s="65">
        <v>9267</v>
      </c>
      <c r="G4" s="65">
        <v>1600</v>
      </c>
      <c r="H4" s="65">
        <v>1500</v>
      </c>
      <c r="I4" s="65">
        <v>1500</v>
      </c>
      <c r="J4" s="65">
        <v>1700</v>
      </c>
      <c r="K4" s="65">
        <v>1700</v>
      </c>
      <c r="L4" s="65">
        <v>1700</v>
      </c>
      <c r="M4" s="65">
        <v>1800</v>
      </c>
      <c r="N4" s="65">
        <f t="shared" ref="N4:N22" si="0">SUM(B4:M4)</f>
        <v>67167</v>
      </c>
    </row>
    <row r="5" spans="1:14" ht="24.75" customHeight="1" x14ac:dyDescent="0.2">
      <c r="A5" s="498" t="s">
        <v>248</v>
      </c>
      <c r="B5" s="495">
        <v>47000</v>
      </c>
      <c r="C5" s="65">
        <v>47000</v>
      </c>
      <c r="D5" s="65">
        <v>47000</v>
      </c>
      <c r="E5" s="65">
        <v>47000</v>
      </c>
      <c r="F5" s="65">
        <v>47000</v>
      </c>
      <c r="G5" s="65">
        <v>500</v>
      </c>
      <c r="H5" s="65">
        <v>393</v>
      </c>
      <c r="I5" s="65">
        <v>47000</v>
      </c>
      <c r="J5" s="65">
        <v>47000</v>
      </c>
      <c r="K5" s="65">
        <v>47000</v>
      </c>
      <c r="L5" s="65">
        <v>47000</v>
      </c>
      <c r="M5" s="65">
        <v>47000</v>
      </c>
      <c r="N5" s="65">
        <f t="shared" si="0"/>
        <v>470893</v>
      </c>
    </row>
    <row r="6" spans="1:14" x14ac:dyDescent="0.2">
      <c r="A6" s="498" t="s">
        <v>281</v>
      </c>
      <c r="B6" s="495">
        <v>8316</v>
      </c>
      <c r="C6" s="65">
        <v>8520</v>
      </c>
      <c r="D6" s="65">
        <v>8316</v>
      </c>
      <c r="E6" s="65">
        <v>8316</v>
      </c>
      <c r="F6" s="65">
        <v>8316</v>
      </c>
      <c r="G6" s="65">
        <v>8316</v>
      </c>
      <c r="H6" s="65">
        <v>8316</v>
      </c>
      <c r="I6" s="65">
        <v>8316</v>
      </c>
      <c r="J6" s="65">
        <v>8316</v>
      </c>
      <c r="K6" s="65">
        <v>8316</v>
      </c>
      <c r="L6" s="65">
        <v>8316</v>
      </c>
      <c r="M6" s="65">
        <v>8316</v>
      </c>
      <c r="N6" s="65">
        <f t="shared" si="0"/>
        <v>99996</v>
      </c>
    </row>
    <row r="7" spans="1:14" ht="24" customHeight="1" x14ac:dyDescent="0.2">
      <c r="A7" s="499" t="s">
        <v>316</v>
      </c>
      <c r="B7" s="495">
        <v>28848</v>
      </c>
      <c r="C7" s="65">
        <v>28848</v>
      </c>
      <c r="D7" s="65">
        <v>28848</v>
      </c>
      <c r="E7" s="65">
        <v>28848</v>
      </c>
      <c r="F7" s="65">
        <v>28848</v>
      </c>
      <c r="G7" s="65">
        <v>28847</v>
      </c>
      <c r="H7" s="65">
        <v>28847</v>
      </c>
      <c r="I7" s="65">
        <v>28847</v>
      </c>
      <c r="J7" s="65">
        <v>28847</v>
      </c>
      <c r="K7" s="65">
        <v>28847</v>
      </c>
      <c r="L7" s="65">
        <v>28847</v>
      </c>
      <c r="M7" s="65">
        <v>28854</v>
      </c>
      <c r="N7" s="65">
        <f t="shared" si="0"/>
        <v>346176</v>
      </c>
    </row>
    <row r="8" spans="1:14" ht="27" customHeight="1" x14ac:dyDescent="0.2">
      <c r="A8" s="499" t="s">
        <v>317</v>
      </c>
      <c r="B8" s="495">
        <v>1500</v>
      </c>
      <c r="C8" s="65">
        <v>1500</v>
      </c>
      <c r="D8" s="65">
        <v>1500</v>
      </c>
      <c r="E8" s="65">
        <v>1500</v>
      </c>
      <c r="F8" s="65">
        <v>1500</v>
      </c>
      <c r="G8" s="65">
        <v>1654</v>
      </c>
      <c r="H8" s="65">
        <v>1500</v>
      </c>
      <c r="I8" s="65">
        <v>1500</v>
      </c>
      <c r="J8" s="65">
        <v>2000</v>
      </c>
      <c r="K8" s="65">
        <v>1500</v>
      </c>
      <c r="L8" s="65">
        <v>1500</v>
      </c>
      <c r="M8" s="65">
        <v>1500</v>
      </c>
      <c r="N8" s="65">
        <f t="shared" si="0"/>
        <v>18654</v>
      </c>
    </row>
    <row r="9" spans="1:14" x14ac:dyDescent="0.2">
      <c r="A9" s="66" t="s">
        <v>282</v>
      </c>
      <c r="B9" s="495">
        <v>2576</v>
      </c>
      <c r="C9" s="65">
        <v>2586</v>
      </c>
      <c r="D9" s="65">
        <v>2576</v>
      </c>
      <c r="E9" s="65">
        <v>2576</v>
      </c>
      <c r="F9" s="65">
        <v>2574</v>
      </c>
      <c r="G9" s="65">
        <v>2574</v>
      </c>
      <c r="H9" s="65">
        <v>1870</v>
      </c>
      <c r="I9" s="65">
        <v>1870</v>
      </c>
      <c r="J9" s="65">
        <v>2574</v>
      </c>
      <c r="K9" s="65">
        <v>2574</v>
      </c>
      <c r="L9" s="65">
        <v>2574</v>
      </c>
      <c r="M9" s="65">
        <v>2574</v>
      </c>
      <c r="N9" s="65">
        <f t="shared" si="0"/>
        <v>29498</v>
      </c>
    </row>
    <row r="10" spans="1:14" x14ac:dyDescent="0.2">
      <c r="A10" s="66" t="s">
        <v>283</v>
      </c>
      <c r="B10" s="495">
        <v>3565</v>
      </c>
      <c r="C10" s="65">
        <v>3557</v>
      </c>
      <c r="D10" s="65">
        <v>3557</v>
      </c>
      <c r="E10" s="65">
        <v>3557</v>
      </c>
      <c r="F10" s="65">
        <v>3557</v>
      </c>
      <c r="G10" s="65">
        <v>2552</v>
      </c>
      <c r="H10" s="65">
        <v>2549</v>
      </c>
      <c r="I10" s="65">
        <v>3557</v>
      </c>
      <c r="J10" s="65">
        <v>3557</v>
      </c>
      <c r="K10" s="65">
        <v>3557</v>
      </c>
      <c r="L10" s="65">
        <v>3557</v>
      </c>
      <c r="M10" s="65">
        <v>3557</v>
      </c>
      <c r="N10" s="65">
        <f t="shared" si="0"/>
        <v>40679</v>
      </c>
    </row>
    <row r="11" spans="1:14" x14ac:dyDescent="0.2">
      <c r="A11" s="66" t="s">
        <v>284</v>
      </c>
      <c r="B11" s="495">
        <v>3420</v>
      </c>
      <c r="C11" s="65">
        <v>3420</v>
      </c>
      <c r="D11" s="65">
        <v>3420</v>
      </c>
      <c r="E11" s="65">
        <v>3420</v>
      </c>
      <c r="F11" s="65">
        <v>3420</v>
      </c>
      <c r="G11" s="65">
        <v>3420</v>
      </c>
      <c r="H11" s="65">
        <v>2335</v>
      </c>
      <c r="I11" s="65">
        <v>2345</v>
      </c>
      <c r="J11" s="65">
        <v>3420</v>
      </c>
      <c r="K11" s="65">
        <v>3420</v>
      </c>
      <c r="L11" s="65">
        <v>3420</v>
      </c>
      <c r="M11" s="65">
        <v>3420</v>
      </c>
      <c r="N11" s="65">
        <f t="shared" si="0"/>
        <v>38880</v>
      </c>
    </row>
    <row r="12" spans="1:14" ht="15" customHeight="1" x14ac:dyDescent="0.2">
      <c r="A12" s="66" t="s">
        <v>285</v>
      </c>
      <c r="B12" s="495">
        <v>2865</v>
      </c>
      <c r="C12" s="65">
        <v>2865</v>
      </c>
      <c r="D12" s="65">
        <v>2865</v>
      </c>
      <c r="E12" s="65">
        <v>2865</v>
      </c>
      <c r="F12" s="65">
        <v>2865</v>
      </c>
      <c r="G12" s="65">
        <v>2865</v>
      </c>
      <c r="H12" s="65">
        <v>1933</v>
      </c>
      <c r="I12" s="65">
        <v>1932</v>
      </c>
      <c r="J12" s="494">
        <v>2865</v>
      </c>
      <c r="K12" s="65">
        <v>2865</v>
      </c>
      <c r="L12" s="65">
        <v>2865</v>
      </c>
      <c r="M12" s="65">
        <v>2865</v>
      </c>
      <c r="N12" s="65">
        <f t="shared" si="0"/>
        <v>32515</v>
      </c>
    </row>
    <row r="13" spans="1:14" ht="22.5" customHeight="1" x14ac:dyDescent="0.2">
      <c r="A13" s="499" t="s">
        <v>318</v>
      </c>
      <c r="B13" s="495"/>
      <c r="C13" s="65"/>
      <c r="D13" s="65">
        <v>3123</v>
      </c>
      <c r="E13" s="494"/>
      <c r="F13" s="65"/>
      <c r="G13" s="65"/>
      <c r="H13" s="65">
        <v>3123</v>
      </c>
      <c r="I13" s="65"/>
      <c r="J13" s="65">
        <v>3123</v>
      </c>
      <c r="K13" s="65"/>
      <c r="L13" s="65"/>
      <c r="M13" s="65">
        <v>3123</v>
      </c>
      <c r="N13" s="65">
        <f t="shared" si="0"/>
        <v>12492</v>
      </c>
    </row>
    <row r="14" spans="1:14" ht="17.25" customHeight="1" x14ac:dyDescent="0.2">
      <c r="A14" s="500" t="s">
        <v>278</v>
      </c>
      <c r="B14" s="495">
        <v>38130</v>
      </c>
      <c r="C14" s="65">
        <v>33427</v>
      </c>
      <c r="D14" s="65">
        <v>38000</v>
      </c>
      <c r="E14" s="65">
        <v>38000</v>
      </c>
      <c r="F14" s="65">
        <v>31403</v>
      </c>
      <c r="G14" s="65">
        <v>23000</v>
      </c>
      <c r="H14" s="65">
        <v>7000</v>
      </c>
      <c r="I14" s="65">
        <v>8000</v>
      </c>
      <c r="J14" s="65">
        <v>8000</v>
      </c>
      <c r="K14" s="65">
        <v>8000</v>
      </c>
      <c r="L14" s="65">
        <v>9186</v>
      </c>
      <c r="M14" s="65">
        <v>7000</v>
      </c>
      <c r="N14" s="65">
        <f t="shared" si="0"/>
        <v>249146</v>
      </c>
    </row>
    <row r="15" spans="1:14" ht="25.5" customHeight="1" x14ac:dyDescent="0.2">
      <c r="A15" s="499" t="s">
        <v>286</v>
      </c>
      <c r="B15" s="495">
        <v>30</v>
      </c>
      <c r="C15" s="65">
        <v>35</v>
      </c>
      <c r="D15" s="65">
        <v>40</v>
      </c>
      <c r="E15" s="65">
        <v>80</v>
      </c>
      <c r="F15" s="65">
        <v>100</v>
      </c>
      <c r="G15" s="65">
        <v>120</v>
      </c>
      <c r="H15" s="65">
        <v>120</v>
      </c>
      <c r="I15" s="65">
        <v>125</v>
      </c>
      <c r="J15" s="65">
        <v>200</v>
      </c>
      <c r="K15" s="65">
        <v>200</v>
      </c>
      <c r="L15" s="65">
        <v>200</v>
      </c>
      <c r="M15" s="65">
        <v>250</v>
      </c>
      <c r="N15" s="65">
        <f t="shared" si="0"/>
        <v>1500</v>
      </c>
    </row>
    <row r="16" spans="1:14" ht="17.25" customHeight="1" x14ac:dyDescent="0.2">
      <c r="A16" s="66" t="s">
        <v>279</v>
      </c>
      <c r="B16" s="495">
        <v>2561</v>
      </c>
      <c r="C16" s="65">
        <v>1700</v>
      </c>
      <c r="D16" s="65">
        <v>1500</v>
      </c>
      <c r="E16" s="65">
        <v>1500</v>
      </c>
      <c r="F16" s="65">
        <v>1500</v>
      </c>
      <c r="G16" s="65">
        <v>1900</v>
      </c>
      <c r="H16" s="65">
        <v>5500</v>
      </c>
      <c r="I16" s="65">
        <v>1800</v>
      </c>
      <c r="J16" s="65">
        <v>1900</v>
      </c>
      <c r="K16" s="65">
        <v>5500</v>
      </c>
      <c r="L16" s="65">
        <v>3025</v>
      </c>
      <c r="M16" s="65">
        <v>1800</v>
      </c>
      <c r="N16" s="65">
        <f t="shared" si="0"/>
        <v>30186</v>
      </c>
    </row>
    <row r="17" spans="1:14" x14ac:dyDescent="0.2">
      <c r="A17" s="66" t="s">
        <v>280</v>
      </c>
      <c r="B17" s="495">
        <v>7167</v>
      </c>
      <c r="C17" s="65">
        <v>9000</v>
      </c>
      <c r="D17" s="65">
        <v>22283</v>
      </c>
      <c r="E17" s="65">
        <v>14344</v>
      </c>
      <c r="F17" s="65">
        <v>19675</v>
      </c>
      <c r="G17" s="65">
        <v>12210</v>
      </c>
      <c r="H17" s="65">
        <v>13000</v>
      </c>
      <c r="I17" s="65">
        <v>15000</v>
      </c>
      <c r="J17" s="65">
        <v>17153</v>
      </c>
      <c r="K17" s="65">
        <v>12000</v>
      </c>
      <c r="L17" s="65">
        <v>16900</v>
      </c>
      <c r="M17" s="65">
        <v>12758</v>
      </c>
      <c r="N17" s="65">
        <f t="shared" si="0"/>
        <v>171490</v>
      </c>
    </row>
    <row r="18" spans="1:14" ht="16.5" customHeight="1" x14ac:dyDescent="0.2">
      <c r="A18" s="66" t="s">
        <v>287</v>
      </c>
      <c r="B18" s="495">
        <v>27500</v>
      </c>
      <c r="C18" s="65">
        <v>27500</v>
      </c>
      <c r="D18" s="65">
        <v>10000</v>
      </c>
      <c r="E18" s="65">
        <v>8000</v>
      </c>
      <c r="F18" s="65">
        <v>8000</v>
      </c>
      <c r="G18" s="65">
        <v>15000</v>
      </c>
      <c r="H18" s="65">
        <v>15000</v>
      </c>
      <c r="I18" s="65">
        <v>16000</v>
      </c>
      <c r="J18" s="65">
        <v>33000</v>
      </c>
      <c r="K18" s="65">
        <v>60000</v>
      </c>
      <c r="L18" s="65">
        <v>60000</v>
      </c>
      <c r="M18" s="65">
        <v>68257</v>
      </c>
      <c r="N18" s="65">
        <f t="shared" si="0"/>
        <v>348257</v>
      </c>
    </row>
    <row r="19" spans="1:14" ht="19.5" customHeight="1" x14ac:dyDescent="0.2">
      <c r="A19" s="66" t="s">
        <v>288</v>
      </c>
      <c r="B19" s="495">
        <v>6100</v>
      </c>
      <c r="C19" s="65">
        <v>6100</v>
      </c>
      <c r="D19" s="65">
        <v>1000</v>
      </c>
      <c r="E19" s="65">
        <v>1000</v>
      </c>
      <c r="F19" s="65">
        <v>1000</v>
      </c>
      <c r="G19" s="65">
        <v>1000</v>
      </c>
      <c r="H19" s="65">
        <v>1000</v>
      </c>
      <c r="I19" s="65">
        <v>0</v>
      </c>
      <c r="J19" s="65">
        <v>4000</v>
      </c>
      <c r="K19" s="65">
        <v>8000</v>
      </c>
      <c r="L19" s="65">
        <v>11000</v>
      </c>
      <c r="M19" s="65">
        <v>11965</v>
      </c>
      <c r="N19" s="65">
        <f t="shared" si="0"/>
        <v>52165</v>
      </c>
    </row>
    <row r="20" spans="1:14" ht="17.25" customHeight="1" x14ac:dyDescent="0.2">
      <c r="A20" s="66" t="s">
        <v>320</v>
      </c>
      <c r="B20" s="495">
        <v>11187</v>
      </c>
      <c r="C20" s="65">
        <v>10887</v>
      </c>
      <c r="D20" s="65">
        <v>11658</v>
      </c>
      <c r="E20" s="65">
        <v>7256</v>
      </c>
      <c r="F20" s="65">
        <v>1720</v>
      </c>
      <c r="G20" s="65">
        <v>7188</v>
      </c>
      <c r="H20" s="65">
        <v>2282</v>
      </c>
      <c r="I20" s="65">
        <v>2282</v>
      </c>
      <c r="J20" s="65">
        <v>5993</v>
      </c>
      <c r="K20" s="65">
        <v>1882</v>
      </c>
      <c r="L20" s="65">
        <v>382</v>
      </c>
      <c r="M20" s="65">
        <v>12594</v>
      </c>
      <c r="N20" s="65">
        <f t="shared" si="0"/>
        <v>75311</v>
      </c>
    </row>
    <row r="21" spans="1:14" ht="18.75" customHeight="1" x14ac:dyDescent="0.2">
      <c r="A21" s="66" t="s">
        <v>325</v>
      </c>
      <c r="B21" s="495">
        <v>9037</v>
      </c>
      <c r="C21" s="65">
        <v>9037</v>
      </c>
      <c r="D21" s="65">
        <v>9037</v>
      </c>
      <c r="E21" s="65">
        <v>9037</v>
      </c>
      <c r="F21" s="65">
        <v>9037</v>
      </c>
      <c r="G21" s="65">
        <v>9037</v>
      </c>
      <c r="H21" s="65">
        <v>9037</v>
      </c>
      <c r="I21" s="65">
        <v>9036</v>
      </c>
      <c r="J21" s="65">
        <v>9036</v>
      </c>
      <c r="K21" s="65">
        <v>9036</v>
      </c>
      <c r="L21" s="65">
        <v>9036</v>
      </c>
      <c r="M21" s="65">
        <v>9036</v>
      </c>
      <c r="N21" s="65">
        <f t="shared" si="0"/>
        <v>108439</v>
      </c>
    </row>
    <row r="22" spans="1:14" ht="14.1" customHeight="1" x14ac:dyDescent="0.2">
      <c r="A22" s="71" t="s">
        <v>1481</v>
      </c>
      <c r="B22" s="501">
        <f t="shared" ref="B22:M22" si="1">SUM(B2:B21)</f>
        <v>3760873</v>
      </c>
      <c r="C22" s="501">
        <f t="shared" si="1"/>
        <v>7928164</v>
      </c>
      <c r="D22" s="501">
        <f t="shared" si="1"/>
        <v>5025972</v>
      </c>
      <c r="E22" s="501">
        <f t="shared" si="1"/>
        <v>8394777</v>
      </c>
      <c r="F22" s="501">
        <f t="shared" si="1"/>
        <v>4325750</v>
      </c>
      <c r="G22" s="501">
        <f t="shared" si="1"/>
        <v>4965123</v>
      </c>
      <c r="H22" s="501">
        <f t="shared" si="1"/>
        <v>4378338</v>
      </c>
      <c r="I22" s="501">
        <f t="shared" si="1"/>
        <v>3714516</v>
      </c>
      <c r="J22" s="501">
        <f t="shared" si="1"/>
        <v>7943889</v>
      </c>
      <c r="K22" s="501">
        <f t="shared" si="1"/>
        <v>5299832</v>
      </c>
      <c r="L22" s="501">
        <f t="shared" si="1"/>
        <v>4350895</v>
      </c>
      <c r="M22" s="501">
        <f t="shared" si="1"/>
        <v>4149923</v>
      </c>
      <c r="N22" s="502">
        <f t="shared" si="0"/>
        <v>64238052</v>
      </c>
    </row>
  </sheetData>
  <phoneticPr fontId="99" type="noConversion"/>
  <printOptions horizontalCentered="1"/>
  <pageMargins left="0.27559055118110237" right="0.35433070866141736" top="1.2204724409448819" bottom="0.78740157480314965" header="0.86614173228346458" footer="0.51181102362204722"/>
  <pageSetup paperSize="9" scale="91" orientation="landscape" horizontalDpi="300" verticalDpi="300" r:id="rId1"/>
  <headerFooter alignWithMargins="0">
    <oddHeader>&amp;C&amp;"Times New Roman,Félkövér dőlt"ZALAEGERSZEG MEGYEI JOGÚ VÁROS 2020. ÉVI BEVÉTELI ELŐIRÁNYZATAI NAK 
FELHASZNÁLÁSI ÜTEMTERVE&amp;R&amp;"Times New Roman,Félkövér dőlt"13.a melléklet
Adatok: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8"/>
  <sheetViews>
    <sheetView zoomScaleNormal="100" workbookViewId="0">
      <pane ySplit="1" topLeftCell="A2" activePane="bottomLeft" state="frozen"/>
      <selection pane="bottomLeft" activeCell="M3" sqref="M3"/>
    </sheetView>
  </sheetViews>
  <sheetFormatPr defaultRowHeight="12.75" x14ac:dyDescent="0.2"/>
  <cols>
    <col min="1" max="1" width="30.6640625" style="61" customWidth="1"/>
    <col min="2" max="2" width="10.5" style="61" customWidth="1"/>
    <col min="3" max="6" width="10.33203125" style="61" customWidth="1"/>
    <col min="7" max="8" width="10.5" style="61" customWidth="1"/>
    <col min="9" max="9" width="10.83203125" style="61" customWidth="1"/>
    <col min="10" max="10" width="11.1640625" style="61" customWidth="1"/>
    <col min="11" max="11" width="10.6640625" style="61" customWidth="1"/>
    <col min="12" max="12" width="10.5" style="61" customWidth="1"/>
    <col min="13" max="13" width="11.6640625" style="61" customWidth="1"/>
    <col min="14" max="14" width="12.83203125" style="61" customWidth="1"/>
    <col min="15" max="16384" width="9.33203125" style="61"/>
  </cols>
  <sheetData>
    <row r="1" spans="1:14" s="62" customFormat="1" ht="42" customHeight="1" x14ac:dyDescent="0.2">
      <c r="A1" s="70" t="s">
        <v>253</v>
      </c>
      <c r="B1" s="64" t="s">
        <v>1467</v>
      </c>
      <c r="C1" s="64" t="s">
        <v>1468</v>
      </c>
      <c r="D1" s="64" t="s">
        <v>1469</v>
      </c>
      <c r="E1" s="64" t="s">
        <v>1470</v>
      </c>
      <c r="F1" s="64" t="s">
        <v>1471</v>
      </c>
      <c r="G1" s="64" t="s">
        <v>1472</v>
      </c>
      <c r="H1" s="64" t="s">
        <v>1473</v>
      </c>
      <c r="I1" s="64" t="s">
        <v>1474</v>
      </c>
      <c r="J1" s="64" t="s">
        <v>1475</v>
      </c>
      <c r="K1" s="64" t="s">
        <v>1476</v>
      </c>
      <c r="L1" s="64" t="s">
        <v>1477</v>
      </c>
      <c r="M1" s="64" t="s">
        <v>1478</v>
      </c>
      <c r="N1" s="70" t="s">
        <v>254</v>
      </c>
    </row>
    <row r="2" spans="1:14" ht="15" customHeight="1" x14ac:dyDescent="0.2">
      <c r="A2" s="494" t="s">
        <v>1482</v>
      </c>
      <c r="B2" s="65">
        <v>306431</v>
      </c>
      <c r="C2" s="65">
        <v>351883</v>
      </c>
      <c r="D2" s="65">
        <v>539823</v>
      </c>
      <c r="E2" s="65">
        <v>351883</v>
      </c>
      <c r="F2" s="65">
        <v>379883</v>
      </c>
      <c r="G2" s="65">
        <v>539946</v>
      </c>
      <c r="H2" s="65">
        <v>376883</v>
      </c>
      <c r="I2" s="65">
        <v>277883</v>
      </c>
      <c r="J2" s="65">
        <v>551227</v>
      </c>
      <c r="K2" s="65">
        <v>416883</v>
      </c>
      <c r="L2" s="65">
        <v>426883</v>
      </c>
      <c r="M2" s="65">
        <v>575114</v>
      </c>
      <c r="N2" s="65">
        <f>SUM(B2:M2)</f>
        <v>5094722</v>
      </c>
    </row>
    <row r="3" spans="1:14" ht="15" customHeight="1" x14ac:dyDescent="0.2">
      <c r="A3" s="494" t="s">
        <v>1483</v>
      </c>
      <c r="B3" s="503">
        <v>2791851</v>
      </c>
      <c r="C3" s="503">
        <v>6868499</v>
      </c>
      <c r="D3" s="503">
        <v>3802407</v>
      </c>
      <c r="E3" s="503">
        <v>7367211</v>
      </c>
      <c r="F3" s="503">
        <v>3220071</v>
      </c>
      <c r="G3" s="65">
        <v>3744609</v>
      </c>
      <c r="H3" s="65">
        <v>3403056</v>
      </c>
      <c r="I3" s="65">
        <v>2875817</v>
      </c>
      <c r="J3" s="65">
        <v>6805907</v>
      </c>
      <c r="K3" s="65">
        <v>4223713</v>
      </c>
      <c r="L3" s="65">
        <v>3269119</v>
      </c>
      <c r="M3" s="65">
        <v>2915051</v>
      </c>
      <c r="N3" s="65">
        <f>SUM(B3:M3)</f>
        <v>51287311</v>
      </c>
    </row>
    <row r="4" spans="1:14" ht="28.5" customHeight="1" x14ac:dyDescent="0.2">
      <c r="A4" s="71" t="s">
        <v>1484</v>
      </c>
      <c r="B4" s="504">
        <f t="shared" ref="B4:N4" si="0">SUM(B2:B3)</f>
        <v>3098282</v>
      </c>
      <c r="C4" s="504">
        <f t="shared" si="0"/>
        <v>7220382</v>
      </c>
      <c r="D4" s="504">
        <f t="shared" si="0"/>
        <v>4342230</v>
      </c>
      <c r="E4" s="504">
        <f t="shared" si="0"/>
        <v>7719094</v>
      </c>
      <c r="F4" s="504">
        <f t="shared" si="0"/>
        <v>3599954</v>
      </c>
      <c r="G4" s="504">
        <f t="shared" si="0"/>
        <v>4284555</v>
      </c>
      <c r="H4" s="504">
        <f t="shared" si="0"/>
        <v>3779939</v>
      </c>
      <c r="I4" s="504">
        <f t="shared" si="0"/>
        <v>3153700</v>
      </c>
      <c r="J4" s="504">
        <f t="shared" si="0"/>
        <v>7357134</v>
      </c>
      <c r="K4" s="504">
        <f t="shared" si="0"/>
        <v>4640596</v>
      </c>
      <c r="L4" s="504">
        <f t="shared" si="0"/>
        <v>3696002</v>
      </c>
      <c r="M4" s="504">
        <f t="shared" si="0"/>
        <v>3490165</v>
      </c>
      <c r="N4" s="504">
        <f t="shared" si="0"/>
        <v>56382033</v>
      </c>
    </row>
    <row r="5" spans="1:14" ht="17.25" customHeight="1" x14ac:dyDescent="0.2">
      <c r="A5" s="496" t="s">
        <v>1480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ht="15" customHeight="1" x14ac:dyDescent="0.2">
      <c r="A6" s="498" t="s">
        <v>255</v>
      </c>
      <c r="B6" s="65">
        <v>129036</v>
      </c>
      <c r="C6" s="65">
        <v>162573</v>
      </c>
      <c r="D6" s="65">
        <v>134575</v>
      </c>
      <c r="E6" s="65">
        <v>132695</v>
      </c>
      <c r="F6" s="65">
        <v>176115</v>
      </c>
      <c r="G6" s="65">
        <v>133235</v>
      </c>
      <c r="H6" s="65">
        <v>133355</v>
      </c>
      <c r="I6" s="65">
        <v>134475</v>
      </c>
      <c r="J6" s="65">
        <v>132595</v>
      </c>
      <c r="K6" s="65">
        <v>131915</v>
      </c>
      <c r="L6" s="65">
        <v>132235</v>
      </c>
      <c r="M6" s="65">
        <v>132471</v>
      </c>
      <c r="N6" s="65">
        <f t="shared" ref="N6:N24" si="1">SUM(B6:M6)</f>
        <v>1665275</v>
      </c>
    </row>
    <row r="7" spans="1:14" ht="24" x14ac:dyDescent="0.2">
      <c r="A7" s="498" t="s">
        <v>248</v>
      </c>
      <c r="B7" s="65">
        <v>98212</v>
      </c>
      <c r="C7" s="65">
        <v>104463</v>
      </c>
      <c r="D7" s="65">
        <v>103206</v>
      </c>
      <c r="E7" s="65">
        <v>103206</v>
      </c>
      <c r="F7" s="65">
        <v>103206</v>
      </c>
      <c r="G7" s="65">
        <v>98306</v>
      </c>
      <c r="H7" s="65">
        <v>58206</v>
      </c>
      <c r="I7" s="65">
        <v>16306</v>
      </c>
      <c r="J7" s="65">
        <v>18206</v>
      </c>
      <c r="K7" s="65">
        <v>100764</v>
      </c>
      <c r="L7" s="65">
        <v>99049</v>
      </c>
      <c r="M7" s="65">
        <v>98206</v>
      </c>
      <c r="N7" s="65">
        <f t="shared" si="1"/>
        <v>1001336</v>
      </c>
    </row>
    <row r="8" spans="1:14" x14ac:dyDescent="0.2">
      <c r="A8" s="498" t="s">
        <v>281</v>
      </c>
      <c r="B8" s="65">
        <v>51847</v>
      </c>
      <c r="C8" s="65">
        <v>53128</v>
      </c>
      <c r="D8" s="65">
        <v>51847</v>
      </c>
      <c r="E8" s="65">
        <v>51947</v>
      </c>
      <c r="F8" s="65">
        <v>51847</v>
      </c>
      <c r="G8" s="65">
        <v>51847</v>
      </c>
      <c r="H8" s="65">
        <v>51847</v>
      </c>
      <c r="I8" s="65">
        <v>51947</v>
      </c>
      <c r="J8" s="65">
        <v>51847</v>
      </c>
      <c r="K8" s="65">
        <v>51847</v>
      </c>
      <c r="L8" s="65">
        <v>52047</v>
      </c>
      <c r="M8" s="65">
        <v>51847</v>
      </c>
      <c r="N8" s="65">
        <f t="shared" si="1"/>
        <v>623845</v>
      </c>
    </row>
    <row r="9" spans="1:14" ht="24" customHeight="1" x14ac:dyDescent="0.2">
      <c r="A9" s="499" t="s">
        <v>316</v>
      </c>
      <c r="B9" s="65">
        <v>37169</v>
      </c>
      <c r="C9" s="65">
        <v>38326</v>
      </c>
      <c r="D9" s="65">
        <v>37169</v>
      </c>
      <c r="E9" s="65">
        <v>37269</v>
      </c>
      <c r="F9" s="65">
        <v>37274</v>
      </c>
      <c r="G9" s="65">
        <v>37169</v>
      </c>
      <c r="H9" s="65">
        <v>37169</v>
      </c>
      <c r="I9" s="65">
        <v>38269</v>
      </c>
      <c r="J9" s="65">
        <v>37169</v>
      </c>
      <c r="K9" s="65">
        <v>37169</v>
      </c>
      <c r="L9" s="65">
        <v>37269</v>
      </c>
      <c r="M9" s="65">
        <v>37192</v>
      </c>
      <c r="N9" s="65">
        <f t="shared" si="1"/>
        <v>448613</v>
      </c>
    </row>
    <row r="10" spans="1:14" ht="24" x14ac:dyDescent="0.2">
      <c r="A10" s="499" t="s">
        <v>317</v>
      </c>
      <c r="B10" s="65">
        <v>18411</v>
      </c>
      <c r="C10" s="65">
        <v>18507</v>
      </c>
      <c r="D10" s="65">
        <v>18407</v>
      </c>
      <c r="E10" s="65">
        <v>18607</v>
      </c>
      <c r="F10" s="65">
        <v>18407</v>
      </c>
      <c r="G10" s="65">
        <v>18407</v>
      </c>
      <c r="H10" s="65">
        <v>18241</v>
      </c>
      <c r="I10" s="65">
        <v>18341</v>
      </c>
      <c r="J10" s="65">
        <v>18241</v>
      </c>
      <c r="K10" s="65">
        <v>18241</v>
      </c>
      <c r="L10" s="65">
        <v>18341</v>
      </c>
      <c r="M10" s="65">
        <v>18248</v>
      </c>
      <c r="N10" s="65">
        <f t="shared" si="1"/>
        <v>220399</v>
      </c>
    </row>
    <row r="11" spans="1:14" x14ac:dyDescent="0.2">
      <c r="A11" s="66" t="s">
        <v>282</v>
      </c>
      <c r="B11" s="65">
        <v>30208</v>
      </c>
      <c r="C11" s="65">
        <v>30371</v>
      </c>
      <c r="D11" s="65">
        <v>30308</v>
      </c>
      <c r="E11" s="65">
        <v>30208</v>
      </c>
      <c r="F11" s="65">
        <v>30308</v>
      </c>
      <c r="G11" s="65">
        <v>30208</v>
      </c>
      <c r="H11" s="65">
        <v>27550</v>
      </c>
      <c r="I11" s="65">
        <v>27649</v>
      </c>
      <c r="J11" s="65">
        <v>30208</v>
      </c>
      <c r="K11" s="65">
        <v>30308</v>
      </c>
      <c r="L11" s="65">
        <v>30258</v>
      </c>
      <c r="M11" s="65">
        <v>30208</v>
      </c>
      <c r="N11" s="65">
        <f t="shared" si="1"/>
        <v>357792</v>
      </c>
    </row>
    <row r="12" spans="1:14" x14ac:dyDescent="0.2">
      <c r="A12" s="66" t="s">
        <v>283</v>
      </c>
      <c r="B12" s="65">
        <v>28546</v>
      </c>
      <c r="C12" s="65">
        <v>28696</v>
      </c>
      <c r="D12" s="65">
        <v>28645</v>
      </c>
      <c r="E12" s="65">
        <v>28546</v>
      </c>
      <c r="F12" s="65">
        <v>28643</v>
      </c>
      <c r="G12" s="65">
        <v>24794</v>
      </c>
      <c r="H12" s="65">
        <v>24794</v>
      </c>
      <c r="I12" s="65">
        <v>28640</v>
      </c>
      <c r="J12" s="65">
        <v>28543</v>
      </c>
      <c r="K12" s="65">
        <v>28643</v>
      </c>
      <c r="L12" s="65">
        <v>28593</v>
      </c>
      <c r="M12" s="65">
        <v>28543</v>
      </c>
      <c r="N12" s="65">
        <f t="shared" si="1"/>
        <v>335626</v>
      </c>
    </row>
    <row r="13" spans="1:14" x14ac:dyDescent="0.2">
      <c r="A13" s="66" t="s">
        <v>284</v>
      </c>
      <c r="B13" s="65">
        <v>32376</v>
      </c>
      <c r="C13" s="65">
        <v>32520</v>
      </c>
      <c r="D13" s="65">
        <v>32470</v>
      </c>
      <c r="E13" s="65">
        <v>32370</v>
      </c>
      <c r="F13" s="65">
        <v>32470</v>
      </c>
      <c r="G13" s="65">
        <v>32370</v>
      </c>
      <c r="H13" s="65">
        <v>27963</v>
      </c>
      <c r="I13" s="65">
        <v>28071</v>
      </c>
      <c r="J13" s="65">
        <v>32370</v>
      </c>
      <c r="K13" s="65">
        <v>32470</v>
      </c>
      <c r="L13" s="65">
        <v>32420</v>
      </c>
      <c r="M13" s="65">
        <v>32373</v>
      </c>
      <c r="N13" s="65">
        <f t="shared" si="1"/>
        <v>380243</v>
      </c>
    </row>
    <row r="14" spans="1:14" ht="14.25" customHeight="1" x14ac:dyDescent="0.2">
      <c r="A14" s="66" t="s">
        <v>285</v>
      </c>
      <c r="B14" s="65">
        <v>28939</v>
      </c>
      <c r="C14" s="65">
        <v>29079</v>
      </c>
      <c r="D14" s="65">
        <v>29029</v>
      </c>
      <c r="E14" s="65">
        <v>28929</v>
      </c>
      <c r="F14" s="65">
        <v>29029</v>
      </c>
      <c r="G14" s="65">
        <v>28929</v>
      </c>
      <c r="H14" s="65">
        <v>25898</v>
      </c>
      <c r="I14" s="65">
        <v>25988</v>
      </c>
      <c r="J14" s="65">
        <v>28929</v>
      </c>
      <c r="K14" s="65">
        <v>29029</v>
      </c>
      <c r="L14" s="65">
        <v>28979</v>
      </c>
      <c r="M14" s="65">
        <v>28929</v>
      </c>
      <c r="N14" s="65">
        <f t="shared" si="1"/>
        <v>341686</v>
      </c>
    </row>
    <row r="15" spans="1:14" ht="11.25" customHeight="1" x14ac:dyDescent="0.2">
      <c r="A15" s="66" t="s">
        <v>318</v>
      </c>
      <c r="B15" s="65">
        <v>3894</v>
      </c>
      <c r="C15" s="65">
        <v>4408</v>
      </c>
      <c r="D15" s="65">
        <v>4692</v>
      </c>
      <c r="E15" s="65">
        <v>4408</v>
      </c>
      <c r="F15" s="65">
        <v>4407</v>
      </c>
      <c r="G15" s="65">
        <v>4667</v>
      </c>
      <c r="H15" s="65">
        <v>4407</v>
      </c>
      <c r="I15" s="65">
        <v>4337</v>
      </c>
      <c r="J15" s="65">
        <v>4621</v>
      </c>
      <c r="K15" s="65">
        <v>4337</v>
      </c>
      <c r="L15" s="65">
        <v>4336</v>
      </c>
      <c r="M15" s="65">
        <v>4703</v>
      </c>
      <c r="N15" s="65">
        <f t="shared" si="1"/>
        <v>53217</v>
      </c>
    </row>
    <row r="16" spans="1:14" ht="16.5" customHeight="1" x14ac:dyDescent="0.2">
      <c r="A16" s="500" t="s">
        <v>278</v>
      </c>
      <c r="B16" s="65">
        <v>38130</v>
      </c>
      <c r="C16" s="65">
        <v>48145</v>
      </c>
      <c r="D16" s="65">
        <v>50611</v>
      </c>
      <c r="E16" s="65">
        <v>43020</v>
      </c>
      <c r="F16" s="65">
        <v>41020</v>
      </c>
      <c r="G16" s="65">
        <v>37020</v>
      </c>
      <c r="H16" s="65">
        <v>37020</v>
      </c>
      <c r="I16" s="65">
        <v>37020</v>
      </c>
      <c r="J16" s="65">
        <v>41020</v>
      </c>
      <c r="K16" s="65">
        <v>37020</v>
      </c>
      <c r="L16" s="65">
        <v>37020</v>
      </c>
      <c r="M16" s="65">
        <v>37020</v>
      </c>
      <c r="N16" s="65">
        <f t="shared" si="1"/>
        <v>484066</v>
      </c>
    </row>
    <row r="17" spans="1:14" ht="23.25" customHeight="1" x14ac:dyDescent="0.2">
      <c r="A17" s="499" t="s">
        <v>286</v>
      </c>
      <c r="B17" s="65">
        <v>1662</v>
      </c>
      <c r="C17" s="65">
        <v>1757</v>
      </c>
      <c r="D17" s="65">
        <v>1757</v>
      </c>
      <c r="E17" s="65">
        <v>1757</v>
      </c>
      <c r="F17" s="65">
        <v>1757</v>
      </c>
      <c r="G17" s="65">
        <v>1757</v>
      </c>
      <c r="H17" s="65">
        <v>1757</v>
      </c>
      <c r="I17" s="65">
        <v>1812</v>
      </c>
      <c r="J17" s="65">
        <v>1732</v>
      </c>
      <c r="K17" s="65">
        <v>1732</v>
      </c>
      <c r="L17" s="65">
        <v>1732</v>
      </c>
      <c r="M17" s="65">
        <v>1746</v>
      </c>
      <c r="N17" s="65">
        <f t="shared" si="1"/>
        <v>20958</v>
      </c>
    </row>
    <row r="18" spans="1:14" x14ac:dyDescent="0.2">
      <c r="A18" s="66" t="s">
        <v>279</v>
      </c>
      <c r="B18" s="65">
        <v>38220</v>
      </c>
      <c r="C18" s="65">
        <v>28867</v>
      </c>
      <c r="D18" s="65">
        <v>40370</v>
      </c>
      <c r="E18" s="65">
        <v>41490</v>
      </c>
      <c r="F18" s="65">
        <v>39220</v>
      </c>
      <c r="G18" s="65">
        <v>43832</v>
      </c>
      <c r="H18" s="65">
        <v>32850</v>
      </c>
      <c r="I18" s="65">
        <v>30120</v>
      </c>
      <c r="J18" s="65">
        <v>29220</v>
      </c>
      <c r="K18" s="65">
        <v>32120</v>
      </c>
      <c r="L18" s="65">
        <v>32072</v>
      </c>
      <c r="M18" s="65">
        <v>30120</v>
      </c>
      <c r="N18" s="65">
        <f t="shared" si="1"/>
        <v>418501</v>
      </c>
    </row>
    <row r="19" spans="1:14" x14ac:dyDescent="0.2">
      <c r="A19" s="66" t="s">
        <v>280</v>
      </c>
      <c r="B19" s="65">
        <v>31200</v>
      </c>
      <c r="C19" s="65">
        <v>32200</v>
      </c>
      <c r="D19" s="65">
        <v>23461</v>
      </c>
      <c r="E19" s="65">
        <v>23589</v>
      </c>
      <c r="F19" s="65">
        <v>34471</v>
      </c>
      <c r="G19" s="65">
        <v>33300</v>
      </c>
      <c r="H19" s="65">
        <v>33200</v>
      </c>
      <c r="I19" s="65">
        <v>33700</v>
      </c>
      <c r="J19" s="65">
        <v>32900</v>
      </c>
      <c r="K19" s="65">
        <v>29000</v>
      </c>
      <c r="L19" s="65">
        <v>25900</v>
      </c>
      <c r="M19" s="65">
        <v>26300</v>
      </c>
      <c r="N19" s="65">
        <f t="shared" si="1"/>
        <v>359221</v>
      </c>
    </row>
    <row r="20" spans="1:14" ht="15" customHeight="1" x14ac:dyDescent="0.2">
      <c r="A20" s="66" t="s">
        <v>287</v>
      </c>
      <c r="B20" s="65">
        <v>62000</v>
      </c>
      <c r="C20" s="65">
        <v>62000</v>
      </c>
      <c r="D20" s="65">
        <v>66000</v>
      </c>
      <c r="E20" s="65">
        <v>66000</v>
      </c>
      <c r="F20" s="65">
        <v>66000</v>
      </c>
      <c r="G20" s="65">
        <v>73000</v>
      </c>
      <c r="H20" s="65">
        <v>53000</v>
      </c>
      <c r="I20" s="65">
        <v>54000</v>
      </c>
      <c r="J20" s="65">
        <v>64513</v>
      </c>
      <c r="K20" s="65">
        <v>60000</v>
      </c>
      <c r="L20" s="65">
        <v>60000</v>
      </c>
      <c r="M20" s="65">
        <v>68257</v>
      </c>
      <c r="N20" s="65">
        <f t="shared" si="1"/>
        <v>754770</v>
      </c>
    </row>
    <row r="21" spans="1:14" ht="15.75" customHeight="1" x14ac:dyDescent="0.2">
      <c r="A21" s="66" t="s">
        <v>288</v>
      </c>
      <c r="B21" s="65">
        <v>11600</v>
      </c>
      <c r="C21" s="65">
        <v>11600</v>
      </c>
      <c r="D21" s="65">
        <v>10500</v>
      </c>
      <c r="E21" s="65">
        <v>10500</v>
      </c>
      <c r="F21" s="65">
        <v>10500</v>
      </c>
      <c r="G21" s="65">
        <v>10585</v>
      </c>
      <c r="H21" s="65">
        <v>10000</v>
      </c>
      <c r="I21" s="65">
        <v>9000</v>
      </c>
      <c r="J21" s="65">
        <v>13500</v>
      </c>
      <c r="K21" s="65">
        <v>13500</v>
      </c>
      <c r="L21" s="65">
        <v>13500</v>
      </c>
      <c r="M21" s="65">
        <v>11965</v>
      </c>
      <c r="N21" s="65">
        <f t="shared" si="1"/>
        <v>136750</v>
      </c>
    </row>
    <row r="22" spans="1:14" ht="14.25" customHeight="1" x14ac:dyDescent="0.2">
      <c r="A22" s="66" t="s">
        <v>320</v>
      </c>
      <c r="B22" s="65">
        <v>12104</v>
      </c>
      <c r="C22" s="65">
        <v>12105</v>
      </c>
      <c r="D22" s="65">
        <v>11658</v>
      </c>
      <c r="E22" s="65">
        <v>12105</v>
      </c>
      <c r="F22" s="65">
        <v>12085</v>
      </c>
      <c r="G22" s="65">
        <v>12105</v>
      </c>
      <c r="H22" s="65">
        <v>12105</v>
      </c>
      <c r="I22" s="65">
        <v>12105</v>
      </c>
      <c r="J22" s="65">
        <v>12105</v>
      </c>
      <c r="K22" s="65">
        <v>12105</v>
      </c>
      <c r="L22" s="65">
        <v>12106</v>
      </c>
      <c r="M22" s="65">
        <v>12594</v>
      </c>
      <c r="N22" s="65">
        <f t="shared" si="1"/>
        <v>145282</v>
      </c>
    </row>
    <row r="23" spans="1:14" x14ac:dyDescent="0.2">
      <c r="A23" s="66" t="s">
        <v>325</v>
      </c>
      <c r="B23" s="65">
        <v>9037</v>
      </c>
      <c r="C23" s="65">
        <v>9037</v>
      </c>
      <c r="D23" s="65">
        <v>9037</v>
      </c>
      <c r="E23" s="65">
        <v>9037</v>
      </c>
      <c r="F23" s="65">
        <v>9037</v>
      </c>
      <c r="G23" s="65">
        <v>9037</v>
      </c>
      <c r="H23" s="65">
        <v>9037</v>
      </c>
      <c r="I23" s="65">
        <v>9036</v>
      </c>
      <c r="J23" s="65">
        <v>9036</v>
      </c>
      <c r="K23" s="65">
        <v>9036</v>
      </c>
      <c r="L23" s="65">
        <v>9036</v>
      </c>
      <c r="M23" s="65">
        <v>9036</v>
      </c>
      <c r="N23" s="65">
        <f t="shared" si="1"/>
        <v>108439</v>
      </c>
    </row>
    <row r="24" spans="1:14" ht="14.1" customHeight="1" x14ac:dyDescent="0.2">
      <c r="A24" s="71" t="s">
        <v>1485</v>
      </c>
      <c r="B24" s="502">
        <f t="shared" ref="B24:M24" si="2">SUM(B4:B23)</f>
        <v>3760873</v>
      </c>
      <c r="C24" s="502">
        <f t="shared" si="2"/>
        <v>7928164</v>
      </c>
      <c r="D24" s="502">
        <f t="shared" si="2"/>
        <v>5025972</v>
      </c>
      <c r="E24" s="502">
        <f t="shared" si="2"/>
        <v>8394777</v>
      </c>
      <c r="F24" s="502">
        <f t="shared" si="2"/>
        <v>4325750</v>
      </c>
      <c r="G24" s="502">
        <f t="shared" si="2"/>
        <v>4965123</v>
      </c>
      <c r="H24" s="502">
        <f t="shared" si="2"/>
        <v>4378338</v>
      </c>
      <c r="I24" s="502">
        <f t="shared" si="2"/>
        <v>3714516</v>
      </c>
      <c r="J24" s="502">
        <f t="shared" si="2"/>
        <v>7943889</v>
      </c>
      <c r="K24" s="502">
        <f t="shared" si="2"/>
        <v>5299832</v>
      </c>
      <c r="L24" s="502">
        <f t="shared" si="2"/>
        <v>4350895</v>
      </c>
      <c r="M24" s="502">
        <f t="shared" si="2"/>
        <v>4149923</v>
      </c>
      <c r="N24" s="502">
        <f t="shared" si="1"/>
        <v>64238052</v>
      </c>
    </row>
    <row r="25" spans="1:14" ht="14.1" customHeight="1" x14ac:dyDescent="0.2">
      <c r="B25" s="63"/>
      <c r="C25" s="63"/>
      <c r="D25" s="63"/>
      <c r="E25" s="63"/>
      <c r="F25" s="63"/>
      <c r="G25" s="63"/>
      <c r="N25" s="63"/>
    </row>
    <row r="26" spans="1:14" ht="14.1" customHeight="1" x14ac:dyDescent="0.2"/>
    <row r="27" spans="1:14" ht="14.1" customHeight="1" x14ac:dyDescent="0.2"/>
    <row r="28" spans="1:14" ht="14.1" customHeight="1" x14ac:dyDescent="0.2"/>
  </sheetData>
  <phoneticPr fontId="99" type="noConversion"/>
  <printOptions horizontalCentered="1"/>
  <pageMargins left="0.27559055118110237" right="0.35433070866141736" top="1.2204724409448819" bottom="0.59055118110236227" header="0.86614173228346458" footer="0.51181102362204722"/>
  <pageSetup paperSize="9" scale="92" orientation="landscape" r:id="rId1"/>
  <headerFooter alignWithMargins="0">
    <oddHeader>&amp;C&amp;"Times New Roman,Félkövér dőlt"ZALAEGERSZEG MEGYEI JOGÚ VÁROS 2020. ÉVI KIADÁSI ELŐIRÁNYZATAINAK 
FELHASZNÁLÁSI ÜTEMTERVE&amp;R&amp;"Times New Roman,Félkövér dőlt"13.b melléklet
Adatok: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topLeftCell="A4" workbookViewId="0">
      <selection activeCell="D24" sqref="D24"/>
    </sheetView>
  </sheetViews>
  <sheetFormatPr defaultColWidth="10.6640625" defaultRowHeight="12.75" x14ac:dyDescent="0.2"/>
  <cols>
    <col min="1" max="1" width="61.1640625" style="471" customWidth="1"/>
    <col min="2" max="2" width="15.1640625" style="471" customWidth="1"/>
    <col min="3" max="3" width="16.6640625" style="471" customWidth="1"/>
    <col min="4" max="4" width="16.33203125" style="471" customWidth="1"/>
    <col min="5" max="5" width="37" style="471" customWidth="1"/>
    <col min="6" max="16384" width="10.6640625" style="471"/>
  </cols>
  <sheetData>
    <row r="1" spans="1:5" x14ac:dyDescent="0.2">
      <c r="A1" s="457"/>
      <c r="B1" s="457"/>
      <c r="C1" s="457"/>
      <c r="D1" s="457"/>
      <c r="E1" s="457"/>
    </row>
    <row r="2" spans="1:5" x14ac:dyDescent="0.2">
      <c r="A2" s="457"/>
      <c r="B2" s="457"/>
      <c r="C2" s="457"/>
      <c r="D2" s="457"/>
      <c r="E2" s="457"/>
    </row>
    <row r="3" spans="1:5" x14ac:dyDescent="0.2">
      <c r="A3" s="457"/>
      <c r="B3" s="457"/>
      <c r="C3" s="457"/>
      <c r="D3" s="457"/>
      <c r="E3" s="457"/>
    </row>
    <row r="4" spans="1:5" x14ac:dyDescent="0.2">
      <c r="A4" s="457"/>
      <c r="B4" s="457"/>
      <c r="C4" s="457"/>
      <c r="D4" s="457"/>
      <c r="E4" s="457"/>
    </row>
    <row r="5" spans="1:5" ht="25.5" x14ac:dyDescent="0.2">
      <c r="A5" s="472"/>
      <c r="B5" s="473" t="s">
        <v>1440</v>
      </c>
      <c r="C5" s="473" t="s">
        <v>1441</v>
      </c>
      <c r="D5" s="473" t="s">
        <v>1464</v>
      </c>
      <c r="E5" s="474" t="s">
        <v>1442</v>
      </c>
    </row>
    <row r="6" spans="1:5" ht="20.25" customHeight="1" x14ac:dyDescent="0.2">
      <c r="A6" s="475" t="s">
        <v>1443</v>
      </c>
      <c r="B6" s="476">
        <v>136325</v>
      </c>
      <c r="C6" s="476">
        <v>140547</v>
      </c>
      <c r="D6" s="477">
        <v>138736</v>
      </c>
      <c r="E6" s="478" t="s">
        <v>1444</v>
      </c>
    </row>
    <row r="7" spans="1:5" x14ac:dyDescent="0.2">
      <c r="A7" s="478"/>
      <c r="B7" s="479"/>
      <c r="C7" s="479"/>
      <c r="D7" s="479"/>
      <c r="E7" s="478"/>
    </row>
    <row r="8" spans="1:5" ht="17.25" customHeight="1" x14ac:dyDescent="0.2">
      <c r="A8" s="480" t="s">
        <v>1445</v>
      </c>
      <c r="B8" s="479"/>
      <c r="C8" s="479"/>
      <c r="D8" s="479"/>
      <c r="E8" s="478"/>
    </row>
    <row r="9" spans="1:5" ht="24" customHeight="1" x14ac:dyDescent="0.2">
      <c r="A9" s="481" t="s">
        <v>1446</v>
      </c>
      <c r="B9" s="487">
        <v>150000</v>
      </c>
      <c r="C9" s="487">
        <v>150000</v>
      </c>
      <c r="D9" s="487">
        <v>150000</v>
      </c>
      <c r="E9" s="490" t="s">
        <v>1465</v>
      </c>
    </row>
    <row r="10" spans="1:5" ht="27.75" customHeight="1" x14ac:dyDescent="0.2">
      <c r="A10" s="482" t="s">
        <v>1447</v>
      </c>
      <c r="B10" s="487">
        <v>25000</v>
      </c>
      <c r="C10" s="487">
        <v>25000</v>
      </c>
      <c r="D10" s="487"/>
      <c r="E10" s="491" t="s">
        <v>1448</v>
      </c>
    </row>
    <row r="11" spans="1:5" ht="27" customHeight="1" x14ac:dyDescent="0.2">
      <c r="A11" s="482" t="s">
        <v>1447</v>
      </c>
      <c r="B11" s="487">
        <v>20783</v>
      </c>
      <c r="C11" s="487"/>
      <c r="D11" s="487"/>
      <c r="E11" s="492" t="s">
        <v>1449</v>
      </c>
    </row>
    <row r="12" spans="1:5" ht="33" customHeight="1" x14ac:dyDescent="0.2">
      <c r="A12" s="481" t="s">
        <v>1450</v>
      </c>
      <c r="B12" s="487">
        <v>25000</v>
      </c>
      <c r="C12" s="487">
        <v>25000</v>
      </c>
      <c r="D12" s="487">
        <v>25000</v>
      </c>
      <c r="E12" s="492" t="s">
        <v>1451</v>
      </c>
    </row>
    <row r="13" spans="1:5" ht="18.75" customHeight="1" x14ac:dyDescent="0.2">
      <c r="A13" s="480" t="s">
        <v>1452</v>
      </c>
      <c r="B13" s="489">
        <f>SUM(B9:B12)</f>
        <v>220783</v>
      </c>
      <c r="C13" s="489">
        <f>SUM(C9:C12)</f>
        <v>200000</v>
      </c>
      <c r="D13" s="489">
        <f>SUM(D9:D12)</f>
        <v>175000</v>
      </c>
      <c r="E13" s="491"/>
    </row>
    <row r="14" spans="1:5" x14ac:dyDescent="0.2">
      <c r="A14" s="480"/>
      <c r="B14" s="489"/>
      <c r="C14" s="489"/>
      <c r="D14" s="489"/>
      <c r="E14" s="491"/>
    </row>
    <row r="15" spans="1:5" x14ac:dyDescent="0.2">
      <c r="A15" s="480" t="s">
        <v>1453</v>
      </c>
      <c r="B15" s="487"/>
      <c r="C15" s="487"/>
      <c r="D15" s="487"/>
      <c r="E15" s="491"/>
    </row>
    <row r="16" spans="1:5" s="483" customFormat="1" ht="26.25" customHeight="1" x14ac:dyDescent="0.2">
      <c r="A16" s="482" t="s">
        <v>1454</v>
      </c>
      <c r="B16" s="487">
        <v>8904</v>
      </c>
      <c r="C16" s="487">
        <v>4470</v>
      </c>
      <c r="D16" s="487"/>
      <c r="E16" s="492" t="s">
        <v>1455</v>
      </c>
    </row>
    <row r="17" spans="1:5" ht="28.5" customHeight="1" x14ac:dyDescent="0.2">
      <c r="A17" s="482" t="s">
        <v>1456</v>
      </c>
      <c r="B17" s="487">
        <v>3763</v>
      </c>
      <c r="C17" s="487">
        <v>14627</v>
      </c>
      <c r="D17" s="487"/>
      <c r="E17" s="492" t="s">
        <v>1457</v>
      </c>
    </row>
    <row r="18" spans="1:5" s="483" customFormat="1" ht="29.25" customHeight="1" x14ac:dyDescent="0.2">
      <c r="A18" s="482" t="s">
        <v>1458</v>
      </c>
      <c r="B18" s="487">
        <v>93750</v>
      </c>
      <c r="C18" s="487">
        <v>93750</v>
      </c>
      <c r="D18" s="487">
        <v>93750</v>
      </c>
      <c r="E18" s="492" t="s">
        <v>1459</v>
      </c>
    </row>
    <row r="19" spans="1:5" s="483" customFormat="1" ht="28.5" customHeight="1" x14ac:dyDescent="0.2">
      <c r="A19" s="482" t="s">
        <v>1460</v>
      </c>
      <c r="B19" s="487">
        <v>27000</v>
      </c>
      <c r="C19" s="487">
        <v>27000</v>
      </c>
      <c r="D19" s="487">
        <v>27000</v>
      </c>
      <c r="E19" s="492" t="s">
        <v>1461</v>
      </c>
    </row>
    <row r="20" spans="1:5" s="483" customFormat="1" ht="28.5" customHeight="1" x14ac:dyDescent="0.2">
      <c r="A20" s="482" t="s">
        <v>1466</v>
      </c>
      <c r="B20" s="487">
        <v>27152</v>
      </c>
      <c r="C20" s="487">
        <v>28072</v>
      </c>
      <c r="D20" s="487">
        <v>27950</v>
      </c>
      <c r="E20" s="505" t="s">
        <v>1486</v>
      </c>
    </row>
    <row r="21" spans="1:5" ht="20.100000000000001" customHeight="1" x14ac:dyDescent="0.2">
      <c r="A21" s="475" t="s">
        <v>1462</v>
      </c>
      <c r="B21" s="489">
        <f>SUM(B16:B20)</f>
        <v>160569</v>
      </c>
      <c r="C21" s="489">
        <f>SUM(C16:C20)</f>
        <v>167919</v>
      </c>
      <c r="D21" s="489">
        <f>SUM(D16:D20)</f>
        <v>148700</v>
      </c>
      <c r="E21" s="488"/>
    </row>
    <row r="22" spans="1:5" ht="20.100000000000001" customHeight="1" x14ac:dyDescent="0.2">
      <c r="A22" s="484" t="s">
        <v>1463</v>
      </c>
      <c r="B22" s="485">
        <f>SUM(B6+B13+B21)</f>
        <v>517677</v>
      </c>
      <c r="C22" s="485">
        <f>SUM(C6+C13+C21)</f>
        <v>508466</v>
      </c>
      <c r="D22" s="485">
        <f>SUM(D6+D13+D21)</f>
        <v>462436</v>
      </c>
      <c r="E22" s="484"/>
    </row>
    <row r="23" spans="1:5" x14ac:dyDescent="0.2">
      <c r="A23" s="457"/>
      <c r="B23" s="457"/>
      <c r="C23" s="457"/>
      <c r="D23" s="457"/>
      <c r="E23" s="457"/>
    </row>
    <row r="24" spans="1:5" x14ac:dyDescent="0.2">
      <c r="A24" s="457"/>
      <c r="B24" s="457"/>
      <c r="C24" s="457"/>
      <c r="D24" s="457"/>
      <c r="E24" s="457"/>
    </row>
    <row r="25" spans="1:5" x14ac:dyDescent="0.2">
      <c r="A25" s="486" t="s">
        <v>207</v>
      </c>
      <c r="B25" s="486"/>
      <c r="C25" s="486"/>
      <c r="D25" s="486"/>
      <c r="E25" s="486"/>
    </row>
  </sheetData>
  <phoneticPr fontId="99" type="noConversion"/>
  <printOptions horizontalCentered="1" verticalCentered="1"/>
  <pageMargins left="0.39370078740157483" right="0.39370078740157483" top="0.59055118110236227" bottom="0.78740157480314965" header="0.11811023622047245" footer="0.31496062992125984"/>
  <pageSetup paperSize="9" scale="90" orientation="landscape" horizontalDpi="300" verticalDpi="300" r:id="rId1"/>
  <headerFooter alignWithMargins="0">
    <oddHeader>&amp;C&amp;"Times New Roman CE,Félkövér"&amp;12Több éves kihatással járó döntések számszerűsítése évenkénti bontása&amp;R14. melléklet
Adatok: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22" zoomScaleNormal="100" workbookViewId="0">
      <selection activeCell="D12" sqref="D12"/>
    </sheetView>
  </sheetViews>
  <sheetFormatPr defaultRowHeight="12" x14ac:dyDescent="0.2"/>
  <cols>
    <col min="1" max="1" width="7.5" style="14" customWidth="1"/>
    <col min="2" max="2" width="65.5" style="13" customWidth="1"/>
    <col min="3" max="4" width="16.33203125" style="13" customWidth="1"/>
    <col min="5" max="5" width="15.33203125" style="13" customWidth="1"/>
    <col min="6" max="16384" width="9.33203125" style="12"/>
  </cols>
  <sheetData>
    <row r="1" spans="1:7" ht="55.5" customHeight="1" thickBot="1" x14ac:dyDescent="0.25">
      <c r="A1" s="804" t="s">
        <v>266</v>
      </c>
      <c r="B1" s="805" t="s">
        <v>253</v>
      </c>
      <c r="C1" s="806" t="s">
        <v>414</v>
      </c>
      <c r="D1" s="806" t="s">
        <v>43</v>
      </c>
      <c r="E1" s="806" t="s">
        <v>45</v>
      </c>
    </row>
    <row r="2" spans="1:7" s="11" customFormat="1" ht="14.45" customHeight="1" x14ac:dyDescent="0.2">
      <c r="A2" s="807" t="s">
        <v>1514</v>
      </c>
      <c r="B2" s="671" t="s">
        <v>1515</v>
      </c>
      <c r="C2" s="671"/>
      <c r="D2" s="671"/>
      <c r="E2" s="671"/>
    </row>
    <row r="3" spans="1:7" ht="14.45" customHeight="1" x14ac:dyDescent="0.2">
      <c r="A3" s="807" t="s">
        <v>1516</v>
      </c>
      <c r="B3" s="671" t="s">
        <v>1517</v>
      </c>
      <c r="C3" s="265"/>
      <c r="D3" s="671"/>
      <c r="E3" s="265"/>
    </row>
    <row r="4" spans="1:7" ht="14.45" customHeight="1" x14ac:dyDescent="0.2">
      <c r="A4" s="268" t="s">
        <v>1518</v>
      </c>
      <c r="B4" s="265" t="s">
        <v>1519</v>
      </c>
      <c r="C4" s="265"/>
      <c r="D4" s="265"/>
      <c r="E4" s="265"/>
    </row>
    <row r="5" spans="1:7" ht="18" customHeight="1" x14ac:dyDescent="0.2">
      <c r="A5" s="808" t="s">
        <v>1520</v>
      </c>
      <c r="B5" s="265" t="s">
        <v>1521</v>
      </c>
      <c r="C5" s="265">
        <v>100</v>
      </c>
      <c r="D5" s="265">
        <v>113639</v>
      </c>
      <c r="E5" s="265">
        <v>113739</v>
      </c>
      <c r="F5"/>
      <c r="G5"/>
    </row>
    <row r="6" spans="1:7" ht="18" customHeight="1" x14ac:dyDescent="0.2">
      <c r="A6" s="808" t="s">
        <v>1522</v>
      </c>
      <c r="B6" s="265" t="s">
        <v>1523</v>
      </c>
      <c r="C6" s="809">
        <v>1028163</v>
      </c>
      <c r="D6" s="265"/>
      <c r="E6" s="265">
        <v>1028163</v>
      </c>
      <c r="F6"/>
      <c r="G6"/>
    </row>
    <row r="7" spans="1:7" ht="24.95" customHeight="1" x14ac:dyDescent="0.2">
      <c r="A7" s="808" t="s">
        <v>1524</v>
      </c>
      <c r="B7" s="265" t="s">
        <v>1525</v>
      </c>
      <c r="C7" s="454">
        <v>1264465</v>
      </c>
      <c r="D7" s="265">
        <v>56713</v>
      </c>
      <c r="E7" s="265">
        <v>1321178</v>
      </c>
      <c r="F7"/>
      <c r="G7"/>
    </row>
    <row r="8" spans="1:7" ht="15" customHeight="1" x14ac:dyDescent="0.2">
      <c r="A8" s="808" t="s">
        <v>1526</v>
      </c>
      <c r="B8" s="265" t="s">
        <v>1527</v>
      </c>
      <c r="C8" s="454">
        <v>447133</v>
      </c>
      <c r="D8" s="265">
        <v>28316</v>
      </c>
      <c r="E8" s="265">
        <v>475449</v>
      </c>
      <c r="F8"/>
      <c r="G8"/>
    </row>
    <row r="9" spans="1:7" ht="16.5" hidden="1" customHeight="1" x14ac:dyDescent="0.2">
      <c r="A9" s="808" t="s">
        <v>1528</v>
      </c>
      <c r="B9" s="265" t="s">
        <v>1529</v>
      </c>
      <c r="C9" s="265"/>
      <c r="D9" s="265"/>
      <c r="E9" s="265">
        <v>0</v>
      </c>
    </row>
    <row r="10" spans="1:7" ht="16.5" customHeight="1" x14ac:dyDescent="0.2">
      <c r="A10" s="808" t="s">
        <v>1528</v>
      </c>
      <c r="B10" s="265" t="s">
        <v>1530</v>
      </c>
      <c r="C10" s="265"/>
      <c r="D10" s="265">
        <v>0</v>
      </c>
      <c r="E10" s="265">
        <v>0</v>
      </c>
    </row>
    <row r="11" spans="1:7" ht="16.5" customHeight="1" x14ac:dyDescent="0.2">
      <c r="A11" s="808" t="s">
        <v>1531</v>
      </c>
      <c r="B11" s="265" t="s">
        <v>1532</v>
      </c>
      <c r="C11" s="265"/>
      <c r="D11" s="265">
        <v>12679</v>
      </c>
      <c r="E11" s="265">
        <v>12679</v>
      </c>
    </row>
    <row r="12" spans="1:7" ht="24.75" customHeight="1" x14ac:dyDescent="0.2">
      <c r="A12" s="268" t="s">
        <v>1533</v>
      </c>
      <c r="B12" s="265" t="s">
        <v>1534</v>
      </c>
      <c r="C12" s="265">
        <v>34350</v>
      </c>
      <c r="D12" s="265"/>
      <c r="E12" s="265">
        <v>34350</v>
      </c>
    </row>
    <row r="13" spans="1:7" ht="18.75" customHeight="1" x14ac:dyDescent="0.2">
      <c r="A13" s="268" t="s">
        <v>1535</v>
      </c>
      <c r="B13" s="265" t="s">
        <v>1536</v>
      </c>
      <c r="C13" s="265">
        <v>1145280</v>
      </c>
      <c r="D13" s="265">
        <v>516670</v>
      </c>
      <c r="E13" s="265">
        <v>1661950</v>
      </c>
    </row>
    <row r="14" spans="1:7" s="11" customFormat="1" ht="22.5" customHeight="1" x14ac:dyDescent="0.2">
      <c r="A14" s="806"/>
      <c r="B14" s="810" t="s">
        <v>1537</v>
      </c>
      <c r="C14" s="810">
        <v>3919491</v>
      </c>
      <c r="D14" s="810">
        <v>728017</v>
      </c>
      <c r="E14" s="810">
        <v>4647508</v>
      </c>
    </row>
    <row r="15" spans="1:7" ht="14.45" customHeight="1" x14ac:dyDescent="0.2">
      <c r="A15" s="807" t="s">
        <v>1538</v>
      </c>
      <c r="B15" s="671" t="s">
        <v>1539</v>
      </c>
      <c r="C15" s="265"/>
      <c r="D15" s="671"/>
      <c r="E15" s="265"/>
    </row>
    <row r="16" spans="1:7" ht="14.45" customHeight="1" x14ac:dyDescent="0.2">
      <c r="A16" s="268" t="s">
        <v>1540</v>
      </c>
      <c r="B16" s="265" t="s">
        <v>1541</v>
      </c>
      <c r="C16" s="265"/>
      <c r="D16" s="265">
        <v>18531</v>
      </c>
      <c r="E16" s="265">
        <v>18531</v>
      </c>
    </row>
    <row r="17" spans="1:5" ht="17.25" customHeight="1" x14ac:dyDescent="0.2">
      <c r="A17" s="268" t="s">
        <v>1542</v>
      </c>
      <c r="B17" s="265" t="s">
        <v>1543</v>
      </c>
      <c r="C17" s="265">
        <v>9335556</v>
      </c>
      <c r="D17" s="265">
        <v>79798</v>
      </c>
      <c r="E17" s="265">
        <v>9415354</v>
      </c>
    </row>
    <row r="18" spans="1:5" s="11" customFormat="1" ht="18.75" customHeight="1" x14ac:dyDescent="0.2">
      <c r="A18" s="806"/>
      <c r="B18" s="810" t="s">
        <v>1544</v>
      </c>
      <c r="C18" s="810">
        <v>9335556</v>
      </c>
      <c r="D18" s="810">
        <v>98329</v>
      </c>
      <c r="E18" s="810">
        <v>9433885</v>
      </c>
    </row>
    <row r="19" spans="1:5" ht="14.45" customHeight="1" x14ac:dyDescent="0.2">
      <c r="A19" s="807" t="s">
        <v>1545</v>
      </c>
      <c r="B19" s="671" t="s">
        <v>143</v>
      </c>
      <c r="C19" s="265"/>
      <c r="D19" s="671"/>
      <c r="E19" s="265"/>
    </row>
    <row r="20" spans="1:5" ht="14.45" customHeight="1" x14ac:dyDescent="0.2">
      <c r="A20" s="811" t="s">
        <v>1546</v>
      </c>
      <c r="B20" s="812" t="s">
        <v>1547</v>
      </c>
      <c r="C20" s="265">
        <v>1086000</v>
      </c>
      <c r="D20" s="812"/>
      <c r="E20" s="265">
        <v>1086000</v>
      </c>
    </row>
    <row r="21" spans="1:5" ht="14.45" customHeight="1" x14ac:dyDescent="0.2">
      <c r="A21" s="268" t="s">
        <v>1548</v>
      </c>
      <c r="B21" s="265" t="s">
        <v>1549</v>
      </c>
      <c r="C21" s="265"/>
      <c r="D21" s="265"/>
      <c r="E21" s="265"/>
    </row>
    <row r="22" spans="1:5" ht="14.45" customHeight="1" x14ac:dyDescent="0.2">
      <c r="A22" s="808" t="s">
        <v>1550</v>
      </c>
      <c r="B22" s="265" t="s">
        <v>1551</v>
      </c>
      <c r="C22" s="265">
        <v>4700000</v>
      </c>
      <c r="D22" s="265"/>
      <c r="E22" s="265">
        <v>4700000</v>
      </c>
    </row>
    <row r="23" spans="1:5" ht="14.45" customHeight="1" x14ac:dyDescent="0.2">
      <c r="A23" s="808" t="s">
        <v>1552</v>
      </c>
      <c r="B23" s="265" t="s">
        <v>1553</v>
      </c>
      <c r="C23" s="265">
        <v>280000</v>
      </c>
      <c r="D23" s="265">
        <v>-280000</v>
      </c>
      <c r="E23" s="265">
        <v>0</v>
      </c>
    </row>
    <row r="24" spans="1:5" ht="15" customHeight="1" x14ac:dyDescent="0.2">
      <c r="A24" s="808" t="s">
        <v>1554</v>
      </c>
      <c r="B24" s="265" t="s">
        <v>1555</v>
      </c>
      <c r="C24" s="265">
        <v>21000</v>
      </c>
      <c r="D24" s="265">
        <v>-8000</v>
      </c>
      <c r="E24" s="265">
        <v>13000</v>
      </c>
    </row>
    <row r="25" spans="1:5" ht="14.45" customHeight="1" x14ac:dyDescent="0.2">
      <c r="A25" s="268" t="s">
        <v>1556</v>
      </c>
      <c r="B25" s="265" t="s">
        <v>1557</v>
      </c>
      <c r="C25" s="265">
        <v>8000</v>
      </c>
      <c r="D25" s="265"/>
      <c r="E25" s="265">
        <v>8000</v>
      </c>
    </row>
    <row r="26" spans="1:5" ht="15" customHeight="1" x14ac:dyDescent="0.2">
      <c r="A26" s="806"/>
      <c r="B26" s="810" t="s">
        <v>1558</v>
      </c>
      <c r="C26" s="810">
        <v>6095000</v>
      </c>
      <c r="D26" s="810">
        <v>-288000</v>
      </c>
      <c r="E26" s="810">
        <v>5807000</v>
      </c>
    </row>
    <row r="27" spans="1:5" ht="15" customHeight="1" x14ac:dyDescent="0.2">
      <c r="A27" s="806" t="s">
        <v>1559</v>
      </c>
      <c r="B27" s="810" t="s">
        <v>327</v>
      </c>
      <c r="C27" s="810">
        <v>7031389</v>
      </c>
      <c r="D27" s="810">
        <v>5282</v>
      </c>
      <c r="E27" s="810">
        <v>7036671</v>
      </c>
    </row>
    <row r="28" spans="1:5" ht="15" customHeight="1" x14ac:dyDescent="0.2">
      <c r="A28" s="807" t="s">
        <v>1560</v>
      </c>
      <c r="B28" s="671" t="s">
        <v>328</v>
      </c>
      <c r="C28" s="265"/>
      <c r="D28" s="671"/>
      <c r="E28" s="265">
        <v>0</v>
      </c>
    </row>
    <row r="29" spans="1:5" ht="15" customHeight="1" x14ac:dyDescent="0.2">
      <c r="A29" s="638" t="s">
        <v>1561</v>
      </c>
      <c r="B29" s="265" t="s">
        <v>1562</v>
      </c>
      <c r="C29" s="265">
        <v>76000</v>
      </c>
      <c r="D29" s="265">
        <v>2955</v>
      </c>
      <c r="E29" s="265">
        <v>78955</v>
      </c>
    </row>
    <row r="30" spans="1:5" ht="15" customHeight="1" x14ac:dyDescent="0.2">
      <c r="A30" s="638" t="s">
        <v>1563</v>
      </c>
      <c r="B30" s="265" t="s">
        <v>1564</v>
      </c>
      <c r="C30" s="265"/>
      <c r="D30" s="265">
        <v>51</v>
      </c>
      <c r="E30" s="265">
        <v>51</v>
      </c>
    </row>
    <row r="31" spans="1:5" ht="15" customHeight="1" x14ac:dyDescent="0.2">
      <c r="A31" s="813"/>
      <c r="B31" s="810" t="s">
        <v>1565</v>
      </c>
      <c r="C31" s="810">
        <v>76000</v>
      </c>
      <c r="D31" s="810">
        <v>3006</v>
      </c>
      <c r="E31" s="810">
        <v>79006</v>
      </c>
    </row>
    <row r="32" spans="1:5" ht="15" customHeight="1" x14ac:dyDescent="0.2">
      <c r="A32" s="806" t="s">
        <v>1566</v>
      </c>
      <c r="B32" s="810" t="s">
        <v>329</v>
      </c>
      <c r="C32" s="810"/>
      <c r="D32" s="810">
        <v>18222</v>
      </c>
      <c r="E32" s="810">
        <v>18222</v>
      </c>
    </row>
    <row r="33" spans="1:5" ht="15" customHeight="1" x14ac:dyDescent="0.2">
      <c r="A33" s="807" t="s">
        <v>1567</v>
      </c>
      <c r="B33" s="671" t="s">
        <v>330</v>
      </c>
      <c r="C33" s="671"/>
      <c r="D33" s="671"/>
      <c r="E33" s="265">
        <v>0</v>
      </c>
    </row>
    <row r="34" spans="1:5" ht="24.95" customHeight="1" x14ac:dyDescent="0.2">
      <c r="A34" s="638" t="s">
        <v>1568</v>
      </c>
      <c r="B34" s="265" t="s">
        <v>1569</v>
      </c>
      <c r="C34" s="265">
        <v>3000</v>
      </c>
      <c r="D34" s="265">
        <v>1000</v>
      </c>
      <c r="E34" s="265">
        <v>4000</v>
      </c>
    </row>
    <row r="35" spans="1:5" ht="15" customHeight="1" x14ac:dyDescent="0.2">
      <c r="A35" s="638" t="s">
        <v>1570</v>
      </c>
      <c r="B35" s="265" t="s">
        <v>1571</v>
      </c>
      <c r="C35" s="265"/>
      <c r="D35" s="265"/>
      <c r="E35" s="265">
        <v>0</v>
      </c>
    </row>
    <row r="36" spans="1:5" ht="15" customHeight="1" x14ac:dyDescent="0.2">
      <c r="A36" s="813"/>
      <c r="B36" s="810" t="s">
        <v>1572</v>
      </c>
      <c r="C36" s="810">
        <v>3000</v>
      </c>
      <c r="D36" s="810">
        <v>1000</v>
      </c>
      <c r="E36" s="810">
        <v>4000</v>
      </c>
    </row>
    <row r="37" spans="1:5" ht="15" customHeight="1" x14ac:dyDescent="0.2">
      <c r="A37" s="806" t="s">
        <v>1573</v>
      </c>
      <c r="B37" s="810" t="s">
        <v>260</v>
      </c>
      <c r="C37" s="810">
        <v>26460436</v>
      </c>
      <c r="D37" s="810">
        <v>565856</v>
      </c>
      <c r="E37" s="810">
        <v>27026292</v>
      </c>
    </row>
    <row r="38" spans="1:5" ht="15.95" customHeight="1" x14ac:dyDescent="0.2">
      <c r="A38" s="807" t="s">
        <v>1574</v>
      </c>
      <c r="B38" s="671" t="s">
        <v>331</v>
      </c>
      <c r="C38" s="671"/>
      <c r="D38" s="671"/>
      <c r="E38" s="265">
        <v>0</v>
      </c>
    </row>
    <row r="39" spans="1:5" ht="14.45" customHeight="1" x14ac:dyDescent="0.2">
      <c r="A39" s="268" t="s">
        <v>1575</v>
      </c>
      <c r="B39" s="265" t="s">
        <v>1576</v>
      </c>
      <c r="C39" s="265"/>
      <c r="D39" s="265"/>
      <c r="E39" s="265">
        <v>0</v>
      </c>
    </row>
    <row r="40" spans="1:5" ht="14.45" customHeight="1" x14ac:dyDescent="0.2">
      <c r="A40" s="814" t="s">
        <v>1577</v>
      </c>
      <c r="B40" s="815" t="s">
        <v>1578</v>
      </c>
      <c r="C40" s="265">
        <v>150000</v>
      </c>
      <c r="D40" s="815"/>
      <c r="E40" s="265">
        <v>150000</v>
      </c>
    </row>
    <row r="41" spans="1:5" ht="14.45" customHeight="1" x14ac:dyDescent="0.2">
      <c r="A41" s="814" t="s">
        <v>1579</v>
      </c>
      <c r="B41" s="816" t="s">
        <v>1580</v>
      </c>
      <c r="C41" s="265">
        <v>20687575</v>
      </c>
      <c r="D41" s="814">
        <v>199908</v>
      </c>
      <c r="E41" s="265">
        <v>20887483</v>
      </c>
    </row>
    <row r="42" spans="1:5" ht="14.45" customHeight="1" x14ac:dyDescent="0.2">
      <c r="A42" s="814" t="s">
        <v>1581</v>
      </c>
      <c r="B42" s="815" t="s">
        <v>262</v>
      </c>
      <c r="C42" s="265">
        <v>16940041</v>
      </c>
      <c r="D42" s="815">
        <v>347386</v>
      </c>
      <c r="E42" s="265">
        <v>17287427</v>
      </c>
    </row>
    <row r="43" spans="1:5" ht="14.45" customHeight="1" x14ac:dyDescent="0.2">
      <c r="A43" s="814" t="s">
        <v>1582</v>
      </c>
      <c r="B43" s="815" t="s">
        <v>1583</v>
      </c>
      <c r="C43" s="265"/>
      <c r="D43" s="815">
        <v>1519</v>
      </c>
      <c r="E43" s="265">
        <v>1519</v>
      </c>
    </row>
    <row r="44" spans="1:5" ht="14.45" customHeight="1" x14ac:dyDescent="0.2">
      <c r="A44" s="817"/>
      <c r="B44" s="810" t="s">
        <v>1584</v>
      </c>
      <c r="C44" s="810">
        <v>37777616</v>
      </c>
      <c r="D44" s="810">
        <v>548813</v>
      </c>
      <c r="E44" s="810">
        <v>38326429</v>
      </c>
    </row>
    <row r="45" spans="1:5" ht="15.95" customHeight="1" x14ac:dyDescent="0.2">
      <c r="A45" s="806"/>
      <c r="B45" s="810" t="s">
        <v>1585</v>
      </c>
      <c r="C45" s="810">
        <v>64238052</v>
      </c>
      <c r="D45" s="810">
        <v>1114669</v>
      </c>
      <c r="E45" s="810">
        <v>65352721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9"/>
  <sheetViews>
    <sheetView zoomScale="98" zoomScaleNormal="98" workbookViewId="0">
      <pane xSplit="1" ySplit="1" topLeftCell="B48" activePane="bottomRight" state="frozen"/>
      <selection pane="topRight" activeCell="B1" sqref="B1"/>
      <selection pane="bottomLeft" activeCell="A141" sqref="A141"/>
      <selection pane="bottomRight" activeCell="M20" sqref="M20"/>
    </sheetView>
  </sheetViews>
  <sheetFormatPr defaultRowHeight="12" x14ac:dyDescent="0.2"/>
  <cols>
    <col min="1" max="1" width="66.1640625" style="90" customWidth="1"/>
    <col min="2" max="2" width="10.6640625" style="90" customWidth="1"/>
    <col min="3" max="3" width="9.83203125" style="90" customWidth="1"/>
    <col min="4" max="4" width="12.5" style="90" customWidth="1"/>
    <col min="5" max="5" width="12.6640625" style="90" customWidth="1"/>
    <col min="6" max="6" width="13" style="90" bestFit="1" customWidth="1"/>
    <col min="7" max="7" width="11.5" style="90" customWidth="1"/>
    <col min="8" max="8" width="9.33203125" style="90"/>
    <col min="9" max="9" width="10.33203125" style="90" customWidth="1"/>
    <col min="10" max="10" width="12" style="90" customWidth="1"/>
    <col min="11" max="11" width="11.5" style="90" customWidth="1"/>
    <col min="12" max="12" width="15.1640625" style="90" hidden="1" customWidth="1"/>
    <col min="13" max="16384" width="9.33203125" style="90"/>
  </cols>
  <sheetData>
    <row r="1" spans="1:13" ht="21" customHeight="1" x14ac:dyDescent="0.2">
      <c r="A1" s="89"/>
      <c r="B1" s="745" t="s">
        <v>340</v>
      </c>
      <c r="C1" s="746"/>
      <c r="D1" s="749" t="s">
        <v>46</v>
      </c>
      <c r="E1" s="750"/>
      <c r="F1" s="750"/>
      <c r="G1" s="745" t="s">
        <v>340</v>
      </c>
      <c r="H1" s="746"/>
      <c r="I1" s="749" t="s">
        <v>47</v>
      </c>
      <c r="J1" s="750"/>
      <c r="K1" s="750"/>
      <c r="L1" s="672"/>
    </row>
    <row r="2" spans="1:13" ht="32.25" customHeight="1" x14ac:dyDescent="0.2">
      <c r="A2" s="673" t="s">
        <v>341</v>
      </c>
      <c r="B2" s="747"/>
      <c r="C2" s="748"/>
      <c r="D2" s="674" t="s">
        <v>342</v>
      </c>
      <c r="E2" s="674" t="s">
        <v>343</v>
      </c>
      <c r="F2" s="675" t="s">
        <v>344</v>
      </c>
      <c r="G2" s="747"/>
      <c r="H2" s="748"/>
      <c r="I2" s="674" t="s">
        <v>342</v>
      </c>
      <c r="J2" s="674" t="s">
        <v>343</v>
      </c>
      <c r="K2" s="675" t="s">
        <v>344</v>
      </c>
      <c r="L2" s="676" t="s">
        <v>345</v>
      </c>
    </row>
    <row r="3" spans="1:13" ht="11.25" customHeight="1" x14ac:dyDescent="0.2">
      <c r="A3" s="91" t="s">
        <v>346</v>
      </c>
      <c r="B3" s="92" t="s">
        <v>347</v>
      </c>
      <c r="C3" s="93" t="s">
        <v>348</v>
      </c>
      <c r="D3" s="94"/>
      <c r="E3" s="94"/>
      <c r="F3" s="450"/>
      <c r="G3" s="92" t="s">
        <v>347</v>
      </c>
      <c r="H3" s="93" t="s">
        <v>348</v>
      </c>
      <c r="I3" s="94"/>
      <c r="J3" s="94"/>
      <c r="K3" s="450"/>
      <c r="L3" s="92"/>
    </row>
    <row r="4" spans="1:13" ht="13.5" customHeight="1" x14ac:dyDescent="0.2">
      <c r="A4" s="95" t="s">
        <v>349</v>
      </c>
      <c r="B4" s="92"/>
      <c r="C4" s="92"/>
      <c r="D4" s="96"/>
      <c r="E4" s="96"/>
      <c r="F4" s="96"/>
      <c r="G4" s="92"/>
      <c r="H4" s="92"/>
      <c r="I4" s="96"/>
      <c r="J4" s="96"/>
      <c r="K4" s="96"/>
      <c r="L4" s="92"/>
    </row>
    <row r="5" spans="1:13" ht="15" customHeight="1" x14ac:dyDescent="0.2">
      <c r="A5" s="92" t="s">
        <v>350</v>
      </c>
      <c r="B5" s="92"/>
      <c r="C5" s="92"/>
      <c r="D5" s="96">
        <v>5450000</v>
      </c>
      <c r="E5" s="96">
        <v>606621</v>
      </c>
      <c r="F5" s="96"/>
      <c r="G5" s="92"/>
      <c r="H5" s="92">
        <v>131.66999999999999</v>
      </c>
      <c r="I5" s="96">
        <v>5450000</v>
      </c>
      <c r="J5" s="96">
        <v>717601</v>
      </c>
      <c r="K5" s="96"/>
      <c r="L5" s="98"/>
    </row>
    <row r="6" spans="1:13" ht="15" customHeight="1" x14ac:dyDescent="0.2">
      <c r="A6" s="92" t="s">
        <v>351</v>
      </c>
      <c r="B6" s="99"/>
      <c r="C6" s="99"/>
      <c r="D6" s="96"/>
      <c r="E6" s="96"/>
      <c r="F6" s="677"/>
      <c r="G6" s="99"/>
      <c r="H6" s="99"/>
      <c r="I6" s="96"/>
      <c r="J6" s="96"/>
      <c r="K6" s="96">
        <v>109143</v>
      </c>
      <c r="L6" s="98">
        <v>109143413</v>
      </c>
    </row>
    <row r="7" spans="1:13" ht="15" customHeight="1" x14ac:dyDescent="0.2">
      <c r="A7" s="92" t="s">
        <v>352</v>
      </c>
      <c r="B7" s="92"/>
      <c r="C7" s="92"/>
      <c r="D7" s="96"/>
      <c r="E7" s="96"/>
      <c r="F7" s="96"/>
      <c r="G7" s="92"/>
      <c r="H7" s="92"/>
      <c r="I7" s="96"/>
      <c r="J7" s="96"/>
      <c r="K7" s="96"/>
      <c r="L7" s="98"/>
    </row>
    <row r="8" spans="1:13" ht="15" customHeight="1" x14ac:dyDescent="0.2">
      <c r="A8" s="92" t="s">
        <v>353</v>
      </c>
      <c r="B8" s="92"/>
      <c r="C8" s="100">
        <v>2310</v>
      </c>
      <c r="D8" s="101">
        <v>25200</v>
      </c>
      <c r="E8" s="97">
        <v>59553</v>
      </c>
      <c r="F8" s="96"/>
      <c r="G8" s="92"/>
      <c r="H8" s="100">
        <v>2310</v>
      </c>
      <c r="I8" s="101">
        <v>25200</v>
      </c>
      <c r="J8" s="97">
        <v>59553</v>
      </c>
      <c r="K8" s="96"/>
      <c r="L8" s="98"/>
      <c r="M8" s="706"/>
    </row>
    <row r="9" spans="1:13" ht="15" customHeight="1" x14ac:dyDescent="0.2">
      <c r="A9" s="92" t="s">
        <v>354</v>
      </c>
      <c r="B9" s="92"/>
      <c r="C9" s="100">
        <v>399.2</v>
      </c>
      <c r="D9" s="101">
        <v>415000</v>
      </c>
      <c r="E9" s="97">
        <v>166539</v>
      </c>
      <c r="F9" s="96"/>
      <c r="G9" s="92"/>
      <c r="H9" s="100">
        <v>399.2</v>
      </c>
      <c r="I9" s="101">
        <v>415000</v>
      </c>
      <c r="J9" s="97">
        <v>166539</v>
      </c>
      <c r="K9" s="96"/>
      <c r="L9" s="98"/>
      <c r="M9" s="706"/>
    </row>
    <row r="10" spans="1:13" ht="15" customHeight="1" x14ac:dyDescent="0.2">
      <c r="A10" s="92" t="s">
        <v>355</v>
      </c>
      <c r="B10" s="92"/>
      <c r="C10" s="101">
        <v>323446</v>
      </c>
      <c r="D10" s="101">
        <v>70</v>
      </c>
      <c r="E10" s="97">
        <v>22641</v>
      </c>
      <c r="F10" s="96"/>
      <c r="G10" s="92"/>
      <c r="H10" s="101">
        <v>323446</v>
      </c>
      <c r="I10" s="101">
        <v>70</v>
      </c>
      <c r="J10" s="97">
        <v>22641</v>
      </c>
      <c r="K10" s="96"/>
      <c r="L10" s="98"/>
      <c r="M10" s="706"/>
    </row>
    <row r="11" spans="1:13" ht="15" customHeight="1" x14ac:dyDescent="0.2">
      <c r="A11" s="92" t="s">
        <v>1491</v>
      </c>
      <c r="B11" s="92"/>
      <c r="C11" s="102">
        <v>219.09</v>
      </c>
      <c r="D11" s="101">
        <v>470000</v>
      </c>
      <c r="E11" s="97">
        <v>103339</v>
      </c>
      <c r="F11" s="96"/>
      <c r="G11" s="92"/>
      <c r="H11" s="102">
        <v>219.09</v>
      </c>
      <c r="I11" s="101">
        <v>470000</v>
      </c>
      <c r="J11" s="97">
        <v>103339</v>
      </c>
      <c r="K11" s="96"/>
      <c r="L11" s="98"/>
      <c r="M11" s="706"/>
    </row>
    <row r="12" spans="1:13" ht="15" customHeight="1" x14ac:dyDescent="0.2">
      <c r="A12" s="92" t="s">
        <v>356</v>
      </c>
      <c r="B12" s="92"/>
      <c r="C12" s="92"/>
      <c r="D12" s="101"/>
      <c r="E12" s="101"/>
      <c r="F12" s="96"/>
      <c r="G12" s="92"/>
      <c r="H12" s="92"/>
      <c r="I12" s="101"/>
      <c r="J12" s="101"/>
      <c r="K12" s="96"/>
      <c r="L12" s="98"/>
      <c r="M12" s="706"/>
    </row>
    <row r="13" spans="1:13" ht="15" customHeight="1" x14ac:dyDescent="0.2">
      <c r="A13" s="92" t="s">
        <v>357</v>
      </c>
      <c r="B13" s="92">
        <v>57513</v>
      </c>
      <c r="C13" s="92"/>
      <c r="D13" s="101">
        <v>2700</v>
      </c>
      <c r="E13" s="101">
        <v>155285.1</v>
      </c>
      <c r="F13" s="96"/>
      <c r="G13" s="92">
        <v>57513</v>
      </c>
      <c r="H13" s="92"/>
      <c r="I13" s="101">
        <v>2700</v>
      </c>
      <c r="J13" s="101">
        <v>155285.1</v>
      </c>
      <c r="K13" s="96"/>
      <c r="L13" s="98"/>
      <c r="M13" s="706"/>
    </row>
    <row r="14" spans="1:13" ht="15" customHeight="1" x14ac:dyDescent="0.2">
      <c r="A14" s="92" t="s">
        <v>358</v>
      </c>
      <c r="B14" s="92"/>
      <c r="C14" s="92"/>
      <c r="D14" s="101"/>
      <c r="E14" s="101"/>
      <c r="F14" s="96"/>
      <c r="G14" s="92"/>
      <c r="H14" s="92"/>
      <c r="I14" s="101"/>
      <c r="J14" s="101"/>
      <c r="K14" s="96"/>
      <c r="L14" s="98"/>
      <c r="M14" s="706"/>
    </row>
    <row r="15" spans="1:13" ht="15" customHeight="1" x14ac:dyDescent="0.2">
      <c r="A15" s="92" t="s">
        <v>359</v>
      </c>
      <c r="B15" s="92">
        <v>4112</v>
      </c>
      <c r="C15" s="92"/>
      <c r="D15" s="101">
        <v>2550</v>
      </c>
      <c r="E15" s="101">
        <v>10486</v>
      </c>
      <c r="F15" s="96"/>
      <c r="G15" s="92">
        <v>4112</v>
      </c>
      <c r="H15" s="92"/>
      <c r="I15" s="101">
        <v>2550</v>
      </c>
      <c r="J15" s="101">
        <v>10486</v>
      </c>
      <c r="K15" s="96"/>
      <c r="L15" s="98"/>
      <c r="M15" s="706"/>
    </row>
    <row r="16" spans="1:13" ht="15" customHeight="1" x14ac:dyDescent="0.2">
      <c r="A16" s="92" t="s">
        <v>360</v>
      </c>
      <c r="B16" s="92"/>
      <c r="C16" s="92"/>
      <c r="D16" s="101"/>
      <c r="E16" s="101"/>
      <c r="F16" s="96"/>
      <c r="G16" s="92"/>
      <c r="H16" s="92"/>
      <c r="I16" s="101"/>
      <c r="J16" s="101"/>
      <c r="K16" s="96"/>
      <c r="L16" s="98"/>
      <c r="M16" s="706"/>
    </row>
    <row r="17" spans="1:13" ht="15" customHeight="1" x14ac:dyDescent="0.2">
      <c r="A17" s="92" t="s">
        <v>361</v>
      </c>
      <c r="B17" s="92"/>
      <c r="C17" s="92"/>
      <c r="D17" s="102">
        <v>1</v>
      </c>
      <c r="E17" s="101">
        <v>22370</v>
      </c>
      <c r="F17" s="96"/>
      <c r="G17" s="92"/>
      <c r="H17" s="92"/>
      <c r="I17" s="102">
        <v>1</v>
      </c>
      <c r="J17" s="101">
        <v>22370</v>
      </c>
      <c r="K17" s="96"/>
      <c r="L17" s="98"/>
      <c r="M17" s="706"/>
    </row>
    <row r="18" spans="1:13" ht="15" customHeight="1" x14ac:dyDescent="0.2">
      <c r="A18" s="92" t="s">
        <v>362</v>
      </c>
      <c r="B18" s="92"/>
      <c r="C18" s="92"/>
      <c r="D18" s="96"/>
      <c r="E18" s="96"/>
      <c r="F18" s="96"/>
      <c r="G18" s="92"/>
      <c r="H18" s="92"/>
      <c r="I18" s="96"/>
      <c r="J18" s="96"/>
      <c r="K18" s="96"/>
      <c r="L18" s="98"/>
    </row>
    <row r="19" spans="1:13" ht="15" customHeight="1" x14ac:dyDescent="0.2">
      <c r="A19" s="92" t="s">
        <v>363</v>
      </c>
      <c r="B19" s="92"/>
      <c r="C19" s="92"/>
      <c r="D19" s="96"/>
      <c r="E19" s="96">
        <v>-1148671</v>
      </c>
      <c r="F19" s="96"/>
      <c r="G19" s="92"/>
      <c r="H19" s="92"/>
      <c r="I19" s="96"/>
      <c r="J19" s="96">
        <v>-1148671</v>
      </c>
      <c r="K19" s="96"/>
      <c r="L19" s="98"/>
      <c r="M19" s="706"/>
    </row>
    <row r="20" spans="1:13" ht="15" customHeight="1" x14ac:dyDescent="0.2">
      <c r="A20" s="92" t="s">
        <v>48</v>
      </c>
      <c r="B20" s="92"/>
      <c r="C20" s="92"/>
      <c r="D20" s="96"/>
      <c r="E20" s="96"/>
      <c r="F20" s="96"/>
      <c r="G20" s="92"/>
      <c r="H20" s="92"/>
      <c r="I20" s="96"/>
      <c r="J20" s="96">
        <v>109143.10000000009</v>
      </c>
      <c r="K20" s="96"/>
      <c r="L20" s="98"/>
    </row>
    <row r="21" spans="1:13" ht="15" customHeight="1" x14ac:dyDescent="0.2">
      <c r="A21" s="92" t="s">
        <v>364</v>
      </c>
      <c r="B21" s="92"/>
      <c r="C21" s="92">
        <v>1000</v>
      </c>
      <c r="D21" s="96">
        <v>100</v>
      </c>
      <c r="E21" s="96"/>
      <c r="F21" s="96">
        <v>100</v>
      </c>
      <c r="G21" s="92"/>
      <c r="H21" s="92">
        <v>1000</v>
      </c>
      <c r="I21" s="96">
        <v>100</v>
      </c>
      <c r="J21" s="96"/>
      <c r="K21" s="96">
        <v>100</v>
      </c>
      <c r="L21" s="98">
        <v>100000</v>
      </c>
    </row>
    <row r="22" spans="1:13" ht="15" customHeight="1" x14ac:dyDescent="0.2">
      <c r="A22" s="95" t="s">
        <v>365</v>
      </c>
      <c r="B22" s="92"/>
      <c r="C22" s="92"/>
      <c r="D22" s="96"/>
      <c r="E22" s="96"/>
      <c r="F22" s="96"/>
      <c r="G22" s="92"/>
      <c r="H22" s="92"/>
      <c r="I22" s="96"/>
      <c r="J22" s="96"/>
      <c r="K22" s="96"/>
      <c r="L22" s="98"/>
    </row>
    <row r="23" spans="1:13" ht="24.95" customHeight="1" x14ac:dyDescent="0.2">
      <c r="A23" s="103" t="s">
        <v>366</v>
      </c>
      <c r="B23" s="92"/>
      <c r="C23" s="92"/>
      <c r="D23" s="96"/>
      <c r="E23" s="96"/>
      <c r="F23" s="96"/>
      <c r="G23" s="92"/>
      <c r="H23" s="92"/>
      <c r="I23" s="96"/>
      <c r="J23" s="96"/>
      <c r="K23" s="96"/>
      <c r="L23" s="98"/>
    </row>
    <row r="24" spans="1:13" ht="15" customHeight="1" x14ac:dyDescent="0.2">
      <c r="A24" s="103" t="s">
        <v>367</v>
      </c>
      <c r="B24" s="92"/>
      <c r="C24" s="92">
        <v>143.19999999999999</v>
      </c>
      <c r="D24" s="96">
        <v>4371500</v>
      </c>
      <c r="E24" s="96"/>
      <c r="F24" s="96">
        <v>625999</v>
      </c>
      <c r="G24" s="92"/>
      <c r="H24" s="92">
        <v>143.19999999999999</v>
      </c>
      <c r="I24" s="96">
        <v>4371500</v>
      </c>
      <c r="J24" s="96"/>
      <c r="K24" s="96">
        <v>625999</v>
      </c>
      <c r="L24" s="98">
        <v>625998800</v>
      </c>
    </row>
    <row r="25" spans="1:13" ht="24.95" customHeight="1" x14ac:dyDescent="0.2">
      <c r="A25" s="103" t="s">
        <v>368</v>
      </c>
      <c r="B25" s="92"/>
      <c r="C25" s="92">
        <v>93</v>
      </c>
      <c r="D25" s="96">
        <v>2400000</v>
      </c>
      <c r="E25" s="96"/>
      <c r="F25" s="96">
        <v>223200</v>
      </c>
      <c r="G25" s="92"/>
      <c r="H25" s="92">
        <v>93</v>
      </c>
      <c r="I25" s="96">
        <v>2400000</v>
      </c>
      <c r="J25" s="96"/>
      <c r="K25" s="96">
        <v>223200</v>
      </c>
      <c r="L25" s="98">
        <v>223200000</v>
      </c>
    </row>
    <row r="26" spans="1:13" ht="13.5" customHeight="1" x14ac:dyDescent="0.2">
      <c r="A26" s="92" t="s">
        <v>369</v>
      </c>
      <c r="B26" s="92"/>
      <c r="C26" s="92">
        <v>1617.7</v>
      </c>
      <c r="D26" s="96">
        <v>97400</v>
      </c>
      <c r="E26" s="96"/>
      <c r="F26" s="96">
        <v>157564</v>
      </c>
      <c r="G26" s="92"/>
      <c r="H26" s="92">
        <v>1617.7</v>
      </c>
      <c r="I26" s="96">
        <v>97400</v>
      </c>
      <c r="J26" s="96"/>
      <c r="K26" s="96">
        <v>157564</v>
      </c>
      <c r="L26" s="98">
        <v>157563980</v>
      </c>
    </row>
    <row r="27" spans="1:13" ht="15" customHeight="1" x14ac:dyDescent="0.2">
      <c r="A27" s="92" t="s">
        <v>370</v>
      </c>
      <c r="B27" s="92"/>
      <c r="C27" s="92"/>
      <c r="D27" s="96"/>
      <c r="E27" s="96"/>
      <c r="F27" s="96"/>
      <c r="G27" s="92"/>
      <c r="H27" s="92"/>
      <c r="I27" s="96"/>
      <c r="J27" s="96"/>
      <c r="K27" s="96"/>
      <c r="L27" s="98"/>
    </row>
    <row r="28" spans="1:13" ht="15" customHeight="1" x14ac:dyDescent="0.2">
      <c r="A28" s="92" t="s">
        <v>371</v>
      </c>
      <c r="B28" s="92"/>
      <c r="C28" s="92">
        <v>43</v>
      </c>
      <c r="D28" s="96">
        <v>396700</v>
      </c>
      <c r="E28" s="96"/>
      <c r="F28" s="96">
        <v>17058</v>
      </c>
      <c r="G28" s="92"/>
      <c r="H28" s="92">
        <v>43</v>
      </c>
      <c r="I28" s="96">
        <v>396700</v>
      </c>
      <c r="J28" s="96"/>
      <c r="K28" s="96">
        <v>17058</v>
      </c>
      <c r="L28" s="98">
        <v>17058100</v>
      </c>
    </row>
    <row r="29" spans="1:13" ht="24.75" hidden="1" customHeight="1" x14ac:dyDescent="0.2">
      <c r="A29" s="103" t="s">
        <v>372</v>
      </c>
      <c r="B29" s="92"/>
      <c r="C29" s="92"/>
      <c r="D29" s="96">
        <v>363642</v>
      </c>
      <c r="E29" s="96"/>
      <c r="F29" s="96"/>
      <c r="G29" s="92"/>
      <c r="H29" s="92"/>
      <c r="I29" s="96">
        <v>363642</v>
      </c>
      <c r="J29" s="96"/>
      <c r="K29" s="96"/>
      <c r="L29" s="98"/>
    </row>
    <row r="30" spans="1:13" ht="15" customHeight="1" x14ac:dyDescent="0.2">
      <c r="A30" s="92" t="s">
        <v>373</v>
      </c>
      <c r="B30" s="92"/>
      <c r="C30" s="92">
        <v>3</v>
      </c>
      <c r="D30" s="96">
        <v>1447300</v>
      </c>
      <c r="E30" s="96"/>
      <c r="F30" s="96">
        <v>4342</v>
      </c>
      <c r="G30" s="92"/>
      <c r="H30" s="92">
        <v>3</v>
      </c>
      <c r="I30" s="96">
        <v>1447300</v>
      </c>
      <c r="J30" s="96"/>
      <c r="K30" s="96">
        <v>4342</v>
      </c>
      <c r="L30" s="98">
        <v>4341900</v>
      </c>
    </row>
    <row r="31" spans="1:13" ht="15" customHeight="1" x14ac:dyDescent="0.2">
      <c r="A31" s="95" t="s">
        <v>374</v>
      </c>
      <c r="B31" s="92"/>
      <c r="C31" s="92"/>
      <c r="D31" s="96"/>
      <c r="E31" s="96"/>
      <c r="F31" s="96"/>
      <c r="G31" s="92"/>
      <c r="H31" s="92"/>
      <c r="I31" s="96"/>
      <c r="J31" s="96"/>
      <c r="K31" s="96"/>
      <c r="L31" s="98"/>
    </row>
    <row r="32" spans="1:13" ht="15" customHeight="1" x14ac:dyDescent="0.2">
      <c r="A32" s="92" t="s">
        <v>375</v>
      </c>
      <c r="B32" s="92"/>
      <c r="C32" s="92"/>
      <c r="D32" s="96">
        <v>3780000</v>
      </c>
      <c r="E32" s="96"/>
      <c r="F32" s="96">
        <v>31620</v>
      </c>
      <c r="G32" s="92"/>
      <c r="H32" s="92">
        <v>8.6999999999999993</v>
      </c>
      <c r="I32" s="96">
        <v>3780000</v>
      </c>
      <c r="J32" s="96"/>
      <c r="K32" s="96">
        <v>32886</v>
      </c>
      <c r="L32" s="98">
        <v>32886000</v>
      </c>
    </row>
    <row r="33" spans="1:12" ht="15" customHeight="1" x14ac:dyDescent="0.2">
      <c r="A33" s="92" t="s">
        <v>376</v>
      </c>
      <c r="B33" s="92"/>
      <c r="C33" s="92"/>
      <c r="D33" s="96">
        <v>3300000</v>
      </c>
      <c r="E33" s="96"/>
      <c r="F33" s="96">
        <v>78540</v>
      </c>
      <c r="G33" s="92"/>
      <c r="H33" s="92">
        <v>23.3</v>
      </c>
      <c r="I33" s="96">
        <v>3300000</v>
      </c>
      <c r="J33" s="96"/>
      <c r="K33" s="96">
        <v>76890</v>
      </c>
      <c r="L33" s="98">
        <v>76890000</v>
      </c>
    </row>
    <row r="34" spans="1:12" ht="12.75" customHeight="1" x14ac:dyDescent="0.2">
      <c r="A34" s="92" t="s">
        <v>377</v>
      </c>
      <c r="B34" s="92"/>
      <c r="C34" s="92">
        <v>325</v>
      </c>
      <c r="D34" s="96">
        <v>71896</v>
      </c>
      <c r="E34" s="96"/>
      <c r="F34" s="96">
        <v>23366</v>
      </c>
      <c r="G34" s="92"/>
      <c r="H34" s="92">
        <v>325</v>
      </c>
      <c r="I34" s="96">
        <v>71896</v>
      </c>
      <c r="J34" s="96"/>
      <c r="K34" s="96">
        <v>23366</v>
      </c>
      <c r="L34" s="98">
        <v>23366200</v>
      </c>
    </row>
    <row r="35" spans="1:12" ht="9.75" customHeight="1" x14ac:dyDescent="0.2">
      <c r="A35" s="92" t="s">
        <v>378</v>
      </c>
      <c r="B35" s="92"/>
      <c r="C35" s="92"/>
      <c r="D35" s="96"/>
      <c r="E35" s="96"/>
      <c r="F35" s="96"/>
      <c r="G35" s="92"/>
      <c r="H35" s="92"/>
      <c r="I35" s="96"/>
      <c r="J35" s="96"/>
      <c r="K35" s="96"/>
      <c r="L35" s="98"/>
    </row>
    <row r="36" spans="1:12" ht="15" customHeight="1" x14ac:dyDescent="0.2">
      <c r="A36" s="92" t="s">
        <v>379</v>
      </c>
      <c r="B36" s="92"/>
      <c r="C36" s="92">
        <v>2</v>
      </c>
      <c r="D36" s="96">
        <v>25000</v>
      </c>
      <c r="E36" s="96"/>
      <c r="F36" s="96">
        <v>50</v>
      </c>
      <c r="G36" s="92"/>
      <c r="H36" s="92">
        <v>2</v>
      </c>
      <c r="I36" s="96">
        <v>25000</v>
      </c>
      <c r="J36" s="96"/>
      <c r="K36" s="96">
        <v>50</v>
      </c>
      <c r="L36" s="98">
        <v>50000</v>
      </c>
    </row>
    <row r="37" spans="1:12" ht="15" customHeight="1" x14ac:dyDescent="0.2">
      <c r="A37" s="92" t="s">
        <v>380</v>
      </c>
      <c r="B37" s="92"/>
      <c r="C37" s="92">
        <v>53</v>
      </c>
      <c r="D37" s="96">
        <v>429000</v>
      </c>
      <c r="E37" s="96"/>
      <c r="F37" s="96">
        <v>22737</v>
      </c>
      <c r="G37" s="92"/>
      <c r="H37" s="92">
        <v>53</v>
      </c>
      <c r="I37" s="96">
        <v>429000</v>
      </c>
      <c r="J37" s="96"/>
      <c r="K37" s="96">
        <v>22737</v>
      </c>
      <c r="L37" s="98">
        <v>22737000</v>
      </c>
    </row>
    <row r="38" spans="1:12" ht="15" customHeight="1" x14ac:dyDescent="0.2">
      <c r="A38" s="103" t="s">
        <v>381</v>
      </c>
      <c r="B38" s="92"/>
      <c r="C38" s="92">
        <v>70</v>
      </c>
      <c r="D38" s="96">
        <v>285000</v>
      </c>
      <c r="E38" s="96"/>
      <c r="F38" s="96">
        <v>19950</v>
      </c>
      <c r="G38" s="92"/>
      <c r="H38" s="92">
        <v>70</v>
      </c>
      <c r="I38" s="96">
        <v>285000</v>
      </c>
      <c r="J38" s="96"/>
      <c r="K38" s="96">
        <v>19950</v>
      </c>
      <c r="L38" s="98">
        <v>19950000</v>
      </c>
    </row>
    <row r="39" spans="1:12" ht="15" customHeight="1" x14ac:dyDescent="0.2">
      <c r="A39" s="103" t="s">
        <v>382</v>
      </c>
      <c r="B39" s="92"/>
      <c r="C39" s="92">
        <v>4</v>
      </c>
      <c r="D39" s="96">
        <v>757900</v>
      </c>
      <c r="E39" s="96"/>
      <c r="F39" s="96">
        <v>3032</v>
      </c>
      <c r="G39" s="92"/>
      <c r="H39" s="92">
        <v>4</v>
      </c>
      <c r="I39" s="96">
        <v>757900</v>
      </c>
      <c r="J39" s="96"/>
      <c r="K39" s="96">
        <v>3032</v>
      </c>
      <c r="L39" s="98">
        <v>3031600</v>
      </c>
    </row>
    <row r="40" spans="1:12" ht="15" customHeight="1" x14ac:dyDescent="0.2">
      <c r="A40" s="103" t="s">
        <v>383</v>
      </c>
      <c r="B40" s="92"/>
      <c r="C40" s="92">
        <v>25</v>
      </c>
      <c r="D40" s="96">
        <v>430800</v>
      </c>
      <c r="E40" s="96"/>
      <c r="F40" s="96">
        <v>10770</v>
      </c>
      <c r="G40" s="92"/>
      <c r="H40" s="92">
        <v>25</v>
      </c>
      <c r="I40" s="96">
        <v>430800</v>
      </c>
      <c r="J40" s="96"/>
      <c r="K40" s="96">
        <v>10770</v>
      </c>
      <c r="L40" s="98">
        <v>10770000</v>
      </c>
    </row>
    <row r="41" spans="1:12" ht="15" customHeight="1" x14ac:dyDescent="0.2">
      <c r="A41" s="103" t="s">
        <v>384</v>
      </c>
      <c r="B41" s="92"/>
      <c r="C41" s="92">
        <v>15</v>
      </c>
      <c r="D41" s="96"/>
      <c r="E41" s="96"/>
      <c r="F41" s="96">
        <v>54229</v>
      </c>
      <c r="G41" s="92"/>
      <c r="H41" s="92">
        <v>15</v>
      </c>
      <c r="I41" s="96"/>
      <c r="J41" s="96"/>
      <c r="K41" s="96">
        <v>54229</v>
      </c>
      <c r="L41" s="98">
        <v>54228837</v>
      </c>
    </row>
    <row r="42" spans="1:12" ht="13.5" customHeight="1" x14ac:dyDescent="0.2">
      <c r="A42" s="92" t="s">
        <v>385</v>
      </c>
      <c r="B42" s="92"/>
      <c r="C42" s="92"/>
      <c r="D42" s="96"/>
      <c r="E42" s="96"/>
      <c r="F42" s="96"/>
      <c r="G42" s="92"/>
      <c r="H42" s="92"/>
      <c r="I42" s="96"/>
      <c r="J42" s="96"/>
      <c r="K42" s="96"/>
      <c r="L42" s="98"/>
    </row>
    <row r="43" spans="1:12" ht="13.5" customHeight="1" x14ac:dyDescent="0.2">
      <c r="A43" s="92" t="s">
        <v>386</v>
      </c>
      <c r="B43" s="92"/>
      <c r="C43" s="92">
        <v>18</v>
      </c>
      <c r="D43" s="96">
        <v>4419000</v>
      </c>
      <c r="E43" s="96"/>
      <c r="F43" s="96">
        <v>79542</v>
      </c>
      <c r="G43" s="92"/>
      <c r="H43" s="92">
        <v>18</v>
      </c>
      <c r="I43" s="96">
        <v>4419000</v>
      </c>
      <c r="J43" s="96"/>
      <c r="K43" s="96">
        <v>79542</v>
      </c>
      <c r="L43" s="98">
        <v>79542000</v>
      </c>
    </row>
    <row r="44" spans="1:12" ht="13.5" customHeight="1" x14ac:dyDescent="0.2">
      <c r="A44" s="92" t="s">
        <v>387</v>
      </c>
      <c r="B44" s="92"/>
      <c r="C44" s="92">
        <v>51.4</v>
      </c>
      <c r="D44" s="96">
        <v>2993000</v>
      </c>
      <c r="E44" s="96"/>
      <c r="F44" s="96">
        <v>153840</v>
      </c>
      <c r="G44" s="92"/>
      <c r="H44" s="92">
        <v>51.4</v>
      </c>
      <c r="I44" s="96">
        <v>2993000</v>
      </c>
      <c r="J44" s="96"/>
      <c r="K44" s="96">
        <v>153840</v>
      </c>
      <c r="L44" s="98">
        <v>153840200</v>
      </c>
    </row>
    <row r="45" spans="1:12" ht="13.5" customHeight="1" x14ac:dyDescent="0.2">
      <c r="A45" s="92" t="s">
        <v>388</v>
      </c>
      <c r="B45" s="92"/>
      <c r="C45" s="92"/>
      <c r="D45" s="96"/>
      <c r="E45" s="96"/>
      <c r="F45" s="96">
        <v>97692</v>
      </c>
      <c r="G45" s="92"/>
      <c r="H45" s="92"/>
      <c r="I45" s="96"/>
      <c r="J45" s="96"/>
      <c r="K45" s="96">
        <v>97692</v>
      </c>
      <c r="L45" s="98">
        <v>97692000</v>
      </c>
    </row>
    <row r="46" spans="1:12" ht="26.25" customHeight="1" x14ac:dyDescent="0.2">
      <c r="A46" s="103" t="s">
        <v>389</v>
      </c>
      <c r="B46" s="92"/>
      <c r="C46" s="92"/>
      <c r="D46" s="96"/>
      <c r="E46" s="96"/>
      <c r="F46" s="96"/>
      <c r="G46" s="92"/>
      <c r="H46" s="92"/>
      <c r="I46" s="96"/>
      <c r="J46" s="96"/>
      <c r="K46" s="96"/>
      <c r="L46" s="98"/>
    </row>
    <row r="47" spans="1:12" ht="13.5" customHeight="1" x14ac:dyDescent="0.2">
      <c r="A47" s="103" t="s">
        <v>390</v>
      </c>
      <c r="B47" s="92"/>
      <c r="C47" s="92">
        <v>36.200000000000003</v>
      </c>
      <c r="D47" s="96">
        <v>3858040</v>
      </c>
      <c r="E47" s="96"/>
      <c r="F47" s="96">
        <v>139661</v>
      </c>
      <c r="G47" s="92"/>
      <c r="H47" s="92">
        <v>36.200000000000003</v>
      </c>
      <c r="I47" s="96">
        <v>3858040</v>
      </c>
      <c r="J47" s="96"/>
      <c r="K47" s="96">
        <v>139661</v>
      </c>
      <c r="L47" s="98">
        <v>139661048</v>
      </c>
    </row>
    <row r="48" spans="1:12" ht="13.5" customHeight="1" x14ac:dyDescent="0.2">
      <c r="A48" s="92" t="s">
        <v>391</v>
      </c>
      <c r="B48" s="92"/>
      <c r="C48" s="92"/>
      <c r="D48" s="96"/>
      <c r="E48" s="96"/>
      <c r="F48" s="96">
        <v>19913</v>
      </c>
      <c r="G48" s="92"/>
      <c r="H48" s="92"/>
      <c r="I48" s="96"/>
      <c r="J48" s="96"/>
      <c r="K48" s="96">
        <v>19913</v>
      </c>
      <c r="L48" s="98">
        <v>19913000</v>
      </c>
    </row>
    <row r="49" spans="1:12" ht="13.5" customHeight="1" x14ac:dyDescent="0.2">
      <c r="A49" s="104" t="s">
        <v>392</v>
      </c>
      <c r="B49" s="92"/>
      <c r="C49" s="92"/>
      <c r="D49" s="96"/>
      <c r="E49" s="96"/>
      <c r="F49" s="96"/>
      <c r="G49" s="92"/>
      <c r="H49" s="92"/>
      <c r="I49" s="96"/>
      <c r="J49" s="96"/>
      <c r="K49" s="96"/>
      <c r="L49" s="98"/>
    </row>
    <row r="50" spans="1:12" ht="13.5" customHeight="1" x14ac:dyDescent="0.2">
      <c r="A50" s="92" t="s">
        <v>393</v>
      </c>
      <c r="B50" s="92"/>
      <c r="C50" s="92">
        <v>106.91</v>
      </c>
      <c r="D50" s="96">
        <v>2200000</v>
      </c>
      <c r="E50" s="96"/>
      <c r="F50" s="96">
        <v>235202</v>
      </c>
      <c r="G50" s="92"/>
      <c r="H50" s="92">
        <v>106.91</v>
      </c>
      <c r="I50" s="96">
        <v>2200000</v>
      </c>
      <c r="J50" s="96"/>
      <c r="K50" s="96">
        <v>235202</v>
      </c>
      <c r="L50" s="98">
        <v>235202000</v>
      </c>
    </row>
    <row r="51" spans="1:12" ht="13.5" customHeight="1" x14ac:dyDescent="0.2">
      <c r="A51" s="92" t="s">
        <v>394</v>
      </c>
      <c r="B51" s="92"/>
      <c r="C51" s="92"/>
      <c r="D51" s="96"/>
      <c r="E51" s="96"/>
      <c r="F51" s="96">
        <v>293738</v>
      </c>
      <c r="G51" s="92"/>
      <c r="H51" s="92"/>
      <c r="I51" s="96"/>
      <c r="J51" s="96"/>
      <c r="K51" s="96">
        <v>293738</v>
      </c>
      <c r="L51" s="98">
        <v>293738201</v>
      </c>
    </row>
    <row r="52" spans="1:12" ht="13.5" customHeight="1" x14ac:dyDescent="0.2">
      <c r="A52" s="92" t="s">
        <v>395</v>
      </c>
      <c r="B52" s="92"/>
      <c r="C52" s="92">
        <v>2046</v>
      </c>
      <c r="D52" s="96">
        <v>285</v>
      </c>
      <c r="E52" s="96"/>
      <c r="F52" s="96">
        <v>583</v>
      </c>
      <c r="G52" s="92"/>
      <c r="H52" s="92">
        <v>2046</v>
      </c>
      <c r="I52" s="96">
        <v>285</v>
      </c>
      <c r="J52" s="96"/>
      <c r="K52" s="96">
        <v>583</v>
      </c>
      <c r="L52" s="98">
        <v>583110</v>
      </c>
    </row>
    <row r="53" spans="1:12" ht="13.5" customHeight="1" x14ac:dyDescent="0.2">
      <c r="A53" s="105" t="s">
        <v>396</v>
      </c>
      <c r="B53" s="92"/>
      <c r="C53" s="92"/>
      <c r="D53" s="96"/>
      <c r="E53" s="96"/>
      <c r="F53" s="96"/>
      <c r="G53" s="92"/>
      <c r="H53" s="92"/>
      <c r="I53" s="96"/>
      <c r="J53" s="96"/>
      <c r="K53" s="96"/>
      <c r="L53" s="98"/>
    </row>
    <row r="54" spans="1:12" ht="13.5" customHeight="1" x14ac:dyDescent="0.2">
      <c r="A54" s="103" t="s">
        <v>397</v>
      </c>
      <c r="B54" s="92">
        <v>57513</v>
      </c>
      <c r="C54" s="92"/>
      <c r="D54" s="96">
        <v>459</v>
      </c>
      <c r="E54" s="96"/>
      <c r="F54" s="96">
        <v>26399</v>
      </c>
      <c r="G54" s="92">
        <v>57513</v>
      </c>
      <c r="H54" s="92"/>
      <c r="I54" s="96">
        <v>459</v>
      </c>
      <c r="J54" s="96"/>
      <c r="K54" s="96">
        <v>26399</v>
      </c>
      <c r="L54" s="98">
        <v>26398467</v>
      </c>
    </row>
    <row r="55" spans="1:12" ht="24.95" customHeight="1" x14ac:dyDescent="0.2">
      <c r="A55" s="103" t="s">
        <v>398</v>
      </c>
      <c r="B55" s="92"/>
      <c r="C55" s="92"/>
      <c r="D55" s="96"/>
      <c r="E55" s="96"/>
      <c r="F55" s="96">
        <v>175534</v>
      </c>
      <c r="G55" s="92"/>
      <c r="H55" s="92"/>
      <c r="I55" s="96"/>
      <c r="J55" s="96"/>
      <c r="K55" s="96">
        <v>175534</v>
      </c>
      <c r="L55" s="98">
        <v>175534300</v>
      </c>
    </row>
    <row r="56" spans="1:12" ht="17.25" customHeight="1" x14ac:dyDescent="0.2">
      <c r="A56" s="106" t="s">
        <v>399</v>
      </c>
      <c r="B56" s="92"/>
      <c r="C56" s="92"/>
      <c r="D56" s="96"/>
      <c r="E56" s="96"/>
      <c r="F56" s="96"/>
      <c r="G56" s="92"/>
      <c r="H56" s="92"/>
      <c r="I56" s="96"/>
      <c r="J56" s="96"/>
      <c r="K56" s="96"/>
      <c r="L56" s="98"/>
    </row>
    <row r="57" spans="1:12" ht="17.25" customHeight="1" x14ac:dyDescent="0.2">
      <c r="A57" s="106" t="s">
        <v>49</v>
      </c>
      <c r="B57" s="92"/>
      <c r="C57" s="92"/>
      <c r="D57" s="96"/>
      <c r="E57" s="96"/>
      <c r="F57" s="96"/>
      <c r="G57" s="92"/>
      <c r="H57" s="92"/>
      <c r="I57" s="96"/>
      <c r="J57" s="96"/>
      <c r="K57" s="96"/>
      <c r="L57" s="98"/>
    </row>
    <row r="58" spans="1:12" ht="27.75" customHeight="1" x14ac:dyDescent="0.2">
      <c r="A58" s="103" t="s">
        <v>50</v>
      </c>
      <c r="B58" s="92"/>
      <c r="C58" s="92"/>
      <c r="D58" s="96"/>
      <c r="E58" s="96"/>
      <c r="F58" s="96"/>
      <c r="G58" s="92"/>
      <c r="H58" s="92"/>
      <c r="I58" s="96"/>
      <c r="J58" s="96"/>
      <c r="K58" s="96">
        <v>4496</v>
      </c>
      <c r="L58" s="98">
        <v>4495920</v>
      </c>
    </row>
    <row r="59" spans="1:12" ht="17.25" customHeight="1" x14ac:dyDescent="0.2">
      <c r="A59" s="103" t="s">
        <v>51</v>
      </c>
      <c r="B59" s="92"/>
      <c r="C59" s="92"/>
      <c r="D59" s="96"/>
      <c r="E59" s="96"/>
      <c r="F59" s="96"/>
      <c r="G59" s="92"/>
      <c r="H59" s="92"/>
      <c r="I59" s="96"/>
      <c r="J59" s="96"/>
      <c r="K59" s="96"/>
      <c r="L59" s="98"/>
    </row>
    <row r="60" spans="1:12" ht="17.25" customHeight="1" x14ac:dyDescent="0.2">
      <c r="A60" s="103" t="s">
        <v>52</v>
      </c>
      <c r="B60" s="92"/>
      <c r="C60" s="92"/>
      <c r="D60" s="96"/>
      <c r="E60" s="96"/>
      <c r="F60" s="96"/>
      <c r="G60" s="92"/>
      <c r="H60" s="92"/>
      <c r="I60" s="96"/>
      <c r="J60" s="96"/>
      <c r="K60" s="96">
        <v>55851</v>
      </c>
      <c r="L60" s="98">
        <v>55851305</v>
      </c>
    </row>
    <row r="61" spans="1:12" ht="17.25" customHeight="1" x14ac:dyDescent="0.2">
      <c r="A61" s="103" t="s">
        <v>53</v>
      </c>
      <c r="B61" s="92"/>
      <c r="C61" s="92"/>
      <c r="D61" s="96"/>
      <c r="E61" s="96"/>
      <c r="F61" s="96"/>
      <c r="G61" s="92"/>
      <c r="H61" s="92"/>
      <c r="I61" s="96"/>
      <c r="J61" s="96"/>
      <c r="K61" s="96">
        <v>1246</v>
      </c>
      <c r="L61" s="98">
        <v>1246299</v>
      </c>
    </row>
    <row r="62" spans="1:12" ht="17.25" customHeight="1" x14ac:dyDescent="0.2">
      <c r="A62" s="103" t="s">
        <v>400</v>
      </c>
      <c r="B62" s="92"/>
      <c r="C62" s="92"/>
      <c r="D62" s="96"/>
      <c r="E62" s="96"/>
      <c r="F62" s="96"/>
      <c r="G62" s="92"/>
      <c r="H62" s="92"/>
      <c r="I62" s="96"/>
      <c r="J62" s="96"/>
      <c r="K62" s="96"/>
      <c r="L62" s="98"/>
    </row>
    <row r="63" spans="1:12" ht="24.95" customHeight="1" x14ac:dyDescent="0.2">
      <c r="A63" s="103" t="s">
        <v>401</v>
      </c>
      <c r="B63" s="92"/>
      <c r="C63" s="92"/>
      <c r="D63" s="96"/>
      <c r="E63" s="96"/>
      <c r="F63" s="96">
        <v>110200</v>
      </c>
      <c r="G63" s="92"/>
      <c r="H63" s="92"/>
      <c r="I63" s="96"/>
      <c r="J63" s="96"/>
      <c r="K63" s="96">
        <v>110200</v>
      </c>
      <c r="L63" s="98">
        <v>110200000</v>
      </c>
    </row>
    <row r="64" spans="1:12" ht="24.95" customHeight="1" x14ac:dyDescent="0.2">
      <c r="A64" s="103" t="s">
        <v>402</v>
      </c>
      <c r="B64" s="92"/>
      <c r="C64" s="92"/>
      <c r="D64" s="96"/>
      <c r="E64" s="96"/>
      <c r="F64" s="96">
        <v>135000</v>
      </c>
      <c r="G64" s="92"/>
      <c r="H64" s="92"/>
      <c r="I64" s="96"/>
      <c r="J64" s="96"/>
      <c r="K64" s="96">
        <v>135000</v>
      </c>
      <c r="L64" s="98">
        <v>135000000</v>
      </c>
    </row>
    <row r="65" spans="1:12" ht="21.75" customHeight="1" x14ac:dyDescent="0.2">
      <c r="A65" s="103" t="s">
        <v>54</v>
      </c>
      <c r="B65" s="92"/>
      <c r="C65" s="92"/>
      <c r="D65" s="96"/>
      <c r="E65" s="96"/>
      <c r="F65" s="96"/>
      <c r="G65" s="92"/>
      <c r="H65" s="92"/>
      <c r="I65" s="96"/>
      <c r="J65" s="96"/>
      <c r="K65" s="96">
        <v>28316</v>
      </c>
      <c r="L65" s="98">
        <v>28315876</v>
      </c>
    </row>
    <row r="66" spans="1:12" ht="21" customHeight="1" x14ac:dyDescent="0.2">
      <c r="A66" s="106" t="s">
        <v>55</v>
      </c>
      <c r="B66" s="92"/>
      <c r="C66" s="92"/>
      <c r="D66" s="96"/>
      <c r="E66" s="96"/>
      <c r="F66" s="96"/>
      <c r="G66" s="92"/>
      <c r="H66" s="92"/>
      <c r="I66" s="96"/>
      <c r="J66" s="96"/>
      <c r="K66" s="96">
        <v>18531</v>
      </c>
      <c r="L66" s="98">
        <v>18530629</v>
      </c>
    </row>
    <row r="67" spans="1:12" ht="13.5" customHeight="1" x14ac:dyDescent="0.2">
      <c r="A67" s="108" t="s">
        <v>1490</v>
      </c>
      <c r="B67" s="107"/>
      <c r="C67" s="707"/>
      <c r="D67" s="678"/>
      <c r="E67" s="678"/>
      <c r="F67" s="678"/>
      <c r="G67" s="107"/>
      <c r="H67" s="707"/>
      <c r="I67" s="678"/>
      <c r="J67" s="678"/>
      <c r="K67" s="678">
        <v>12679</v>
      </c>
      <c r="L67" s="678">
        <v>12678457</v>
      </c>
    </row>
    <row r="68" spans="1:12" ht="13.5" customHeight="1" x14ac:dyDescent="0.2">
      <c r="A68" s="108" t="s">
        <v>403</v>
      </c>
      <c r="B68" s="107"/>
      <c r="C68" s="707"/>
      <c r="D68" s="678"/>
      <c r="E68" s="678"/>
      <c r="F68" s="678">
        <v>2739861</v>
      </c>
      <c r="G68" s="107"/>
      <c r="H68" s="707"/>
      <c r="I68" s="678"/>
      <c r="J68" s="678"/>
      <c r="K68" s="678">
        <v>2969739</v>
      </c>
      <c r="L68" s="678">
        <v>2969738642</v>
      </c>
    </row>
    <row r="69" spans="1:12" ht="12.75" customHeight="1" x14ac:dyDescent="0.2">
      <c r="B69" s="708"/>
      <c r="C69" s="708"/>
      <c r="D69" s="708"/>
      <c r="E69" s="708"/>
      <c r="F69" s="708"/>
    </row>
  </sheetData>
  <sheetProtection selectLockedCells="1" selectUnlockedCells="1"/>
  <mergeCells count="4">
    <mergeCell ref="G1:H2"/>
    <mergeCell ref="I1:K1"/>
    <mergeCell ref="B1:C2"/>
    <mergeCell ref="D1:F1"/>
  </mergeCells>
  <phoneticPr fontId="0" type="noConversion"/>
  <printOptions horizontalCentered="1" verticalCentered="1"/>
  <pageMargins left="3.937007874015748E-2" right="3.937007874015748E-2" top="0.39370078740157483" bottom="3.937007874015748E-2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B22" sqref="B22"/>
    </sheetView>
  </sheetViews>
  <sheetFormatPr defaultRowHeight="12" x14ac:dyDescent="0.2"/>
  <cols>
    <col min="1" max="1" width="9.33203125" style="12"/>
    <col min="2" max="2" width="50.5" style="12" customWidth="1"/>
    <col min="3" max="5" width="16.33203125" style="12" customWidth="1"/>
    <col min="6" max="16384" width="9.33203125" style="12"/>
  </cols>
  <sheetData>
    <row r="1" spans="1:5" s="29" customFormat="1" ht="50.1" customHeight="1" thickBot="1" x14ac:dyDescent="0.25">
      <c r="A1" s="39" t="s">
        <v>266</v>
      </c>
      <c r="B1" s="39" t="s">
        <v>253</v>
      </c>
      <c r="C1" s="39" t="s">
        <v>414</v>
      </c>
      <c r="D1" s="39" t="s">
        <v>43</v>
      </c>
      <c r="E1" s="39" t="s">
        <v>45</v>
      </c>
    </row>
    <row r="2" spans="1:5" s="29" customFormat="1" ht="19.5" customHeight="1" x14ac:dyDescent="0.2">
      <c r="A2" s="679"/>
      <c r="B2" s="680" t="s">
        <v>259</v>
      </c>
      <c r="C2" s="680"/>
      <c r="D2" s="680"/>
      <c r="E2" s="679"/>
    </row>
    <row r="3" spans="1:5" s="19" customFormat="1" ht="12.75" x14ac:dyDescent="0.2">
      <c r="A3" s="681" t="s">
        <v>267</v>
      </c>
      <c r="B3" s="41" t="s">
        <v>236</v>
      </c>
      <c r="C3" s="631">
        <v>4466098</v>
      </c>
      <c r="D3" s="631">
        <f>25371+[1]táj.2!G825</f>
        <v>88576</v>
      </c>
      <c r="E3" s="682">
        <f>SUM(C3:D3)</f>
        <v>4554674</v>
      </c>
    </row>
    <row r="4" spans="1:5" s="19" customFormat="1" ht="12.75" x14ac:dyDescent="0.2">
      <c r="A4" s="681" t="s">
        <v>268</v>
      </c>
      <c r="B4" s="41" t="s">
        <v>321</v>
      </c>
      <c r="C4" s="631">
        <v>857992</v>
      </c>
      <c r="D4" s="631">
        <f>4972+[1]táj.2!H825</f>
        <v>16995</v>
      </c>
      <c r="E4" s="682">
        <f>SUM(C4:D4)</f>
        <v>874987</v>
      </c>
    </row>
    <row r="5" spans="1:5" s="19" customFormat="1" ht="12.75" x14ac:dyDescent="0.2">
      <c r="A5" s="681" t="s">
        <v>269</v>
      </c>
      <c r="B5" s="43" t="s">
        <v>322</v>
      </c>
      <c r="C5" s="632">
        <v>11480656</v>
      </c>
      <c r="D5" s="631">
        <f>-28759+[1]táj.2!I825</f>
        <v>-15486</v>
      </c>
      <c r="E5" s="682">
        <f>SUM(C5:D5)</f>
        <v>11465170</v>
      </c>
    </row>
    <row r="6" spans="1:5" s="19" customFormat="1" ht="12.75" x14ac:dyDescent="0.2">
      <c r="A6" s="681" t="s">
        <v>270</v>
      </c>
      <c r="B6" s="43" t="s">
        <v>144</v>
      </c>
      <c r="C6" s="632">
        <v>100500</v>
      </c>
      <c r="D6" s="631">
        <f>-1650+[1]táj.2!J825</f>
        <v>138</v>
      </c>
      <c r="E6" s="682">
        <f>SUM(C6:D6)</f>
        <v>100638</v>
      </c>
    </row>
    <row r="7" spans="1:5" s="19" customFormat="1" ht="12.75" x14ac:dyDescent="0.2">
      <c r="A7" s="681" t="s">
        <v>271</v>
      </c>
      <c r="B7" s="43" t="s">
        <v>160</v>
      </c>
      <c r="C7" s="632">
        <v>2325878</v>
      </c>
      <c r="D7" s="631">
        <f>93687+[1]táj.2!K825</f>
        <v>1138081</v>
      </c>
      <c r="E7" s="682">
        <f>SUM(C7:D7)</f>
        <v>3463959</v>
      </c>
    </row>
    <row r="8" spans="1:5" s="19" customFormat="1" ht="13.5" x14ac:dyDescent="0.2">
      <c r="A8" s="681"/>
      <c r="B8" s="51" t="s">
        <v>334</v>
      </c>
      <c r="C8" s="633">
        <v>19231124</v>
      </c>
      <c r="D8" s="633">
        <f>SUM(D3:D7)</f>
        <v>1228304</v>
      </c>
      <c r="E8" s="50">
        <f>SUM(E3:E7)</f>
        <v>20459428</v>
      </c>
    </row>
    <row r="9" spans="1:5" s="19" customFormat="1" ht="12.75" x14ac:dyDescent="0.2">
      <c r="A9" s="40" t="s">
        <v>272</v>
      </c>
      <c r="B9" s="42" t="s">
        <v>150</v>
      </c>
      <c r="C9" s="632">
        <v>27277699</v>
      </c>
      <c r="D9" s="632">
        <f>204167+[1]táj.2!L825</f>
        <v>-7139</v>
      </c>
      <c r="E9" s="42">
        <f>SUM(C9:D9)</f>
        <v>27270560</v>
      </c>
    </row>
    <row r="10" spans="1:5" s="19" customFormat="1" ht="12.75" x14ac:dyDescent="0.2">
      <c r="A10" s="40" t="s">
        <v>273</v>
      </c>
      <c r="B10" s="42" t="s">
        <v>149</v>
      </c>
      <c r="C10" s="632">
        <v>5398062</v>
      </c>
      <c r="D10" s="632">
        <f>-41059+[1]táj.2!M825</f>
        <v>-90443</v>
      </c>
      <c r="E10" s="42">
        <f>SUM(C10:D10)</f>
        <v>5307619</v>
      </c>
    </row>
    <row r="11" spans="1:5" s="19" customFormat="1" ht="12.75" x14ac:dyDescent="0.2">
      <c r="A11" s="40" t="s">
        <v>274</v>
      </c>
      <c r="B11" s="42" t="s">
        <v>196</v>
      </c>
      <c r="C11" s="632">
        <v>102329</v>
      </c>
      <c r="D11" s="632">
        <f>9950+[1]táj.2!N825</f>
        <v>-4879</v>
      </c>
      <c r="E11" s="42">
        <f>SUM(C11:D11)</f>
        <v>97450</v>
      </c>
    </row>
    <row r="12" spans="1:5" s="19" customFormat="1" ht="13.5" x14ac:dyDescent="0.2">
      <c r="A12" s="40"/>
      <c r="B12" s="51" t="s">
        <v>335</v>
      </c>
      <c r="C12" s="633">
        <v>32778090</v>
      </c>
      <c r="D12" s="633">
        <f>SUM(D9:D11)</f>
        <v>-102461</v>
      </c>
      <c r="E12" s="50">
        <f>SUM(E9:E11)</f>
        <v>32675629</v>
      </c>
    </row>
    <row r="13" spans="1:5" s="19" customFormat="1" ht="18" customHeight="1" x14ac:dyDescent="0.2">
      <c r="A13" s="40" t="s">
        <v>197</v>
      </c>
      <c r="B13" s="51" t="s">
        <v>198</v>
      </c>
      <c r="C13" s="633">
        <v>52009214</v>
      </c>
      <c r="D13" s="633">
        <f>SUM(D8+D12)</f>
        <v>1125843</v>
      </c>
      <c r="E13" s="50">
        <f>SUM(E8+E12)</f>
        <v>53135057</v>
      </c>
    </row>
    <row r="14" spans="1:5" s="19" customFormat="1" ht="16.5" customHeight="1" x14ac:dyDescent="0.2">
      <c r="A14" s="40" t="s">
        <v>199</v>
      </c>
      <c r="B14" s="51" t="s">
        <v>258</v>
      </c>
      <c r="C14" s="633">
        <v>12228838</v>
      </c>
      <c r="D14" s="633">
        <f>1020+[1]táj.2!O825+[1]táj.2!P825</f>
        <v>-11174</v>
      </c>
      <c r="E14" s="50">
        <f>SUM(C14:D14)</f>
        <v>12217664</v>
      </c>
    </row>
    <row r="15" spans="1:5" s="19" customFormat="1" ht="18.75" customHeight="1" x14ac:dyDescent="0.2">
      <c r="A15" s="44"/>
      <c r="B15" s="45" t="s">
        <v>244</v>
      </c>
      <c r="C15" s="634">
        <v>64238052</v>
      </c>
      <c r="D15" s="634">
        <f>SUM(D14+D13)</f>
        <v>1114669</v>
      </c>
      <c r="E15" s="46">
        <f>SUM(E13:E14)</f>
        <v>65352721</v>
      </c>
    </row>
    <row r="16" spans="1:5" s="1" customFormat="1" ht="12.75" x14ac:dyDescent="0.2">
      <c r="A16" s="47"/>
      <c r="B16" s="47"/>
      <c r="C16" s="47"/>
      <c r="D16" s="47"/>
      <c r="E16" s="47"/>
    </row>
    <row r="17" spans="1:5" s="1" customFormat="1" ht="12.75" x14ac:dyDescent="0.2">
      <c r="A17" s="47"/>
      <c r="B17" s="47"/>
      <c r="C17" s="47"/>
      <c r="D17" s="47"/>
      <c r="E17" s="47"/>
    </row>
    <row r="18" spans="1:5" s="1" customFormat="1" ht="12.75" x14ac:dyDescent="0.2">
      <c r="A18" s="47"/>
      <c r="B18" s="47"/>
      <c r="C18" s="47"/>
      <c r="D18" s="47"/>
      <c r="E18" s="47"/>
    </row>
    <row r="19" spans="1:5" s="1" customFormat="1" ht="12.75" x14ac:dyDescent="0.2">
      <c r="A19" s="47"/>
      <c r="B19" s="47"/>
      <c r="C19" s="47"/>
      <c r="D19" s="47"/>
      <c r="E19" s="47"/>
    </row>
    <row r="20" spans="1:5" s="1" customFormat="1" ht="12.75" x14ac:dyDescent="0.2">
      <c r="A20" s="47"/>
      <c r="B20" s="47"/>
      <c r="C20" s="47"/>
      <c r="D20" s="47"/>
      <c r="E20" s="47"/>
    </row>
    <row r="21" spans="1:5" s="1" customFormat="1" ht="12.75" x14ac:dyDescent="0.2">
      <c r="A21" s="47"/>
      <c r="B21" s="47"/>
      <c r="C21" s="47"/>
      <c r="D21" s="47"/>
      <c r="E21" s="47"/>
    </row>
    <row r="22" spans="1:5" s="1" customFormat="1" ht="12.75" x14ac:dyDescent="0.2">
      <c r="A22" s="47"/>
      <c r="B22" s="47"/>
      <c r="C22" s="47"/>
      <c r="D22" s="47"/>
      <c r="E22" s="47"/>
    </row>
    <row r="23" spans="1:5" s="1" customFormat="1" ht="12.75" x14ac:dyDescent="0.2">
      <c r="A23" s="47"/>
      <c r="B23" s="47"/>
      <c r="C23" s="47"/>
      <c r="D23" s="47"/>
      <c r="E23" s="47"/>
    </row>
    <row r="24" spans="1:5" s="1" customFormat="1" ht="12.75" x14ac:dyDescent="0.2">
      <c r="A24" s="47"/>
      <c r="B24" s="47"/>
      <c r="C24" s="47"/>
      <c r="D24" s="47"/>
      <c r="E24" s="47"/>
    </row>
    <row r="25" spans="1:5" s="1" customFormat="1" ht="12.75" x14ac:dyDescent="0.2">
      <c r="A25" s="47"/>
      <c r="B25" s="47"/>
      <c r="C25" s="47"/>
      <c r="D25" s="47"/>
      <c r="E25" s="47"/>
    </row>
    <row r="26" spans="1:5" s="1" customFormat="1" ht="12.75" x14ac:dyDescent="0.2">
      <c r="A26" s="48"/>
      <c r="B26" s="47"/>
      <c r="C26" s="47"/>
      <c r="D26" s="47"/>
      <c r="E26" s="47"/>
    </row>
    <row r="27" spans="1:5" ht="12.75" x14ac:dyDescent="0.2">
      <c r="A27" s="48"/>
      <c r="B27" s="48"/>
      <c r="C27" s="48"/>
      <c r="D27" s="48"/>
      <c r="E27" s="48"/>
    </row>
    <row r="28" spans="1:5" ht="12.75" x14ac:dyDescent="0.2">
      <c r="A28" s="48"/>
      <c r="B28" s="48"/>
      <c r="C28" s="48"/>
      <c r="D28" s="48"/>
      <c r="E28" s="48"/>
    </row>
    <row r="29" spans="1:5" ht="12.75" x14ac:dyDescent="0.2">
      <c r="A29" s="48"/>
      <c r="B29" s="48"/>
      <c r="C29" s="48"/>
      <c r="D29" s="48"/>
      <c r="E29" s="48"/>
    </row>
    <row r="30" spans="1:5" ht="12.75" x14ac:dyDescent="0.2">
      <c r="A30" s="48"/>
      <c r="B30" s="48"/>
      <c r="C30" s="48"/>
      <c r="D30" s="48"/>
      <c r="E30" s="48"/>
    </row>
    <row r="31" spans="1:5" ht="12.75" x14ac:dyDescent="0.2">
      <c r="A31" s="48"/>
      <c r="B31" s="48"/>
      <c r="C31" s="48"/>
      <c r="D31" s="48"/>
      <c r="E31" s="48"/>
    </row>
    <row r="32" spans="1:5" ht="12.75" x14ac:dyDescent="0.2">
      <c r="B32" s="48"/>
      <c r="C32" s="48"/>
      <c r="D32" s="48"/>
      <c r="E32" s="48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zoomScale="90" workbookViewId="0">
      <pane ySplit="1" topLeftCell="A2" activePane="bottomLeft" state="frozen"/>
      <selection pane="bottomLeft" activeCell="M17" sqref="M17"/>
    </sheetView>
  </sheetViews>
  <sheetFormatPr defaultRowHeight="12.75" x14ac:dyDescent="0.2"/>
  <cols>
    <col min="1" max="1" width="3.33203125" style="15" customWidth="1"/>
    <col min="2" max="2" width="7" style="15" customWidth="1"/>
    <col min="3" max="3" width="23.33203125" style="15" customWidth="1"/>
    <col min="4" max="4" width="12.33203125" style="15" customWidth="1"/>
    <col min="5" max="5" width="14.33203125" style="15" customWidth="1"/>
    <col min="6" max="6" width="10.83203125" style="15" customWidth="1"/>
    <col min="7" max="7" width="10.33203125" style="15" customWidth="1"/>
    <col min="8" max="8" width="12" style="15" customWidth="1"/>
    <col min="9" max="9" width="14" style="15" customWidth="1"/>
    <col min="10" max="10" width="14.83203125" style="15" customWidth="1"/>
    <col min="11" max="11" width="13.33203125" style="15" customWidth="1"/>
    <col min="12" max="12" width="14.83203125" style="15" customWidth="1"/>
    <col min="13" max="13" width="13.6640625" style="15" customWidth="1"/>
    <col min="14" max="14" width="11.5" style="15" customWidth="1"/>
    <col min="15" max="16384" width="9.33203125" style="15"/>
  </cols>
  <sheetData>
    <row r="1" spans="1:14" x14ac:dyDescent="0.2">
      <c r="A1" s="755" t="s">
        <v>208</v>
      </c>
      <c r="B1" s="755" t="s">
        <v>209</v>
      </c>
      <c r="C1" s="756" t="s">
        <v>253</v>
      </c>
      <c r="D1" s="753" t="s">
        <v>260</v>
      </c>
      <c r="E1" s="753"/>
      <c r="F1" s="753"/>
      <c r="G1" s="753"/>
      <c r="H1" s="753"/>
      <c r="I1" s="753"/>
      <c r="J1" s="753"/>
      <c r="K1" s="753" t="s">
        <v>331</v>
      </c>
      <c r="L1" s="753"/>
      <c r="M1" s="754"/>
      <c r="N1" s="751" t="s">
        <v>254</v>
      </c>
    </row>
    <row r="2" spans="1:14" s="16" customFormat="1" ht="54.95" customHeight="1" thickBot="1" x14ac:dyDescent="0.25">
      <c r="A2" s="755"/>
      <c r="B2" s="755"/>
      <c r="C2" s="756"/>
      <c r="D2" s="57" t="s">
        <v>141</v>
      </c>
      <c r="E2" s="57" t="s">
        <v>142</v>
      </c>
      <c r="F2" s="56" t="s">
        <v>143</v>
      </c>
      <c r="G2" s="54" t="s">
        <v>327</v>
      </c>
      <c r="H2" s="56" t="s">
        <v>328</v>
      </c>
      <c r="I2" s="56" t="s">
        <v>329</v>
      </c>
      <c r="J2" s="56" t="s">
        <v>330</v>
      </c>
      <c r="K2" s="56" t="s">
        <v>261</v>
      </c>
      <c r="L2" s="56" t="s">
        <v>262</v>
      </c>
      <c r="M2" s="59" t="s">
        <v>264</v>
      </c>
      <c r="N2" s="752"/>
    </row>
    <row r="3" spans="1:14" ht="17.100000000000001" customHeight="1" x14ac:dyDescent="0.2">
      <c r="A3" s="30">
        <v>1</v>
      </c>
      <c r="B3" s="30"/>
      <c r="C3" s="30" t="s">
        <v>313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60"/>
    </row>
    <row r="4" spans="1:14" ht="24.95" customHeight="1" x14ac:dyDescent="0.2">
      <c r="A4" s="31"/>
      <c r="B4" s="31">
        <v>12</v>
      </c>
      <c r="C4" s="58" t="s">
        <v>224</v>
      </c>
      <c r="D4" s="32">
        <f>'[1]5.a'!E8</f>
        <v>0</v>
      </c>
      <c r="E4" s="32">
        <f>'[1]5.a'!F8</f>
        <v>0</v>
      </c>
      <c r="F4" s="32">
        <f>'[1]5.a'!G8</f>
        <v>0</v>
      </c>
      <c r="G4" s="32">
        <f>'[1]5.a'!H8</f>
        <v>9906</v>
      </c>
      <c r="H4" s="32">
        <f>'[1]5.a'!I8</f>
        <v>0</v>
      </c>
      <c r="I4" s="32">
        <f>'[1]5.a'!J8</f>
        <v>0</v>
      </c>
      <c r="J4" s="32">
        <f>'[1]5.a'!K8</f>
        <v>0</v>
      </c>
      <c r="K4" s="32">
        <f>'[1]5.a'!L8</f>
        <v>0</v>
      </c>
      <c r="L4" s="32">
        <f>'[1]5.a'!M8</f>
        <v>0</v>
      </c>
      <c r="M4" s="32">
        <f>'[1]5.a'!N8</f>
        <v>0</v>
      </c>
      <c r="N4" s="32">
        <f t="shared" ref="N4:N15" si="0">SUM(D4:M4)</f>
        <v>9906</v>
      </c>
    </row>
    <row r="5" spans="1:14" ht="17.100000000000001" customHeight="1" x14ac:dyDescent="0.2">
      <c r="A5" s="31"/>
      <c r="B5" s="31">
        <v>13</v>
      </c>
      <c r="C5" s="30" t="s">
        <v>225</v>
      </c>
      <c r="D5" s="32">
        <f>'[1]5.a'!E18</f>
        <v>41101</v>
      </c>
      <c r="E5" s="32">
        <f>'[1]5.a'!F18</f>
        <v>0</v>
      </c>
      <c r="F5" s="32">
        <f>'[1]5.a'!G18</f>
        <v>0</v>
      </c>
      <c r="G5" s="32">
        <f>'[1]5.a'!H18</f>
        <v>5715</v>
      </c>
      <c r="H5" s="32">
        <f>'[1]5.a'!I18</f>
        <v>0</v>
      </c>
      <c r="I5" s="32">
        <f>'[1]5.a'!J18</f>
        <v>17922</v>
      </c>
      <c r="J5" s="32">
        <f>'[1]5.a'!K18</f>
        <v>0</v>
      </c>
      <c r="K5" s="32">
        <f>'[1]5.a'!L18</f>
        <v>0</v>
      </c>
      <c r="L5" s="32">
        <f>'[1]5.a'!M18</f>
        <v>0</v>
      </c>
      <c r="M5" s="32">
        <f>'[1]5.a'!N18</f>
        <v>0</v>
      </c>
      <c r="N5" s="32">
        <f t="shared" si="0"/>
        <v>64738</v>
      </c>
    </row>
    <row r="6" spans="1:14" ht="17.100000000000001" customHeight="1" x14ac:dyDescent="0.2">
      <c r="A6" s="162"/>
      <c r="B6" s="162">
        <v>14</v>
      </c>
      <c r="C6" s="175" t="s">
        <v>315</v>
      </c>
      <c r="D6" s="32">
        <f>'[1]5.a'!E22</f>
        <v>0</v>
      </c>
      <c r="E6" s="32">
        <f>'[1]5.a'!F22</f>
        <v>0</v>
      </c>
      <c r="F6" s="32">
        <f>'[1]5.a'!G22</f>
        <v>0</v>
      </c>
      <c r="G6" s="32">
        <f>'[1]5.a'!H22</f>
        <v>5080</v>
      </c>
      <c r="H6" s="32">
        <f>'[1]5.a'!I22</f>
        <v>0</v>
      </c>
      <c r="I6" s="32">
        <f>'[1]5.a'!J22</f>
        <v>0</v>
      </c>
      <c r="J6" s="32">
        <f>'[1]5.a'!K22</f>
        <v>0</v>
      </c>
      <c r="K6" s="32">
        <f>'[1]5.a'!L22</f>
        <v>0</v>
      </c>
      <c r="L6" s="32">
        <f>'[1]5.a'!M22</f>
        <v>0</v>
      </c>
      <c r="M6" s="32">
        <f>'[1]5.a'!N22</f>
        <v>0</v>
      </c>
      <c r="N6" s="32">
        <f t="shared" si="0"/>
        <v>5080</v>
      </c>
    </row>
    <row r="7" spans="1:14" ht="17.100000000000001" customHeight="1" x14ac:dyDescent="0.2">
      <c r="A7" s="31"/>
      <c r="B7" s="31">
        <v>15</v>
      </c>
      <c r="C7" s="30" t="s">
        <v>309</v>
      </c>
      <c r="D7" s="32">
        <f>'[1]5.a'!E36</f>
        <v>0</v>
      </c>
      <c r="E7" s="32">
        <f>'[1]5.a'!F36</f>
        <v>2499</v>
      </c>
      <c r="F7" s="32">
        <f>'[1]5.a'!G36</f>
        <v>0</v>
      </c>
      <c r="G7" s="32">
        <f>'[1]5.a'!H36</f>
        <v>549860</v>
      </c>
      <c r="H7" s="32">
        <f>'[1]5.a'!I36</f>
        <v>0</v>
      </c>
      <c r="I7" s="32">
        <f>'[1]5.a'!J36</f>
        <v>0</v>
      </c>
      <c r="J7" s="32">
        <f>'[1]5.a'!K36</f>
        <v>0</v>
      </c>
      <c r="K7" s="32">
        <f>'[1]5.a'!L36</f>
        <v>0</v>
      </c>
      <c r="L7" s="32">
        <f>'[1]5.a'!M36</f>
        <v>0</v>
      </c>
      <c r="M7" s="32">
        <f>'[1]5.a'!N36</f>
        <v>0</v>
      </c>
      <c r="N7" s="32">
        <f t="shared" si="0"/>
        <v>552359</v>
      </c>
    </row>
    <row r="8" spans="1:14" ht="17.100000000000001" customHeight="1" x14ac:dyDescent="0.2">
      <c r="A8" s="31"/>
      <c r="B8" s="31">
        <v>16</v>
      </c>
      <c r="C8" s="30" t="s">
        <v>243</v>
      </c>
      <c r="D8" s="32">
        <f>'[1]5.a'!E89</f>
        <v>125235</v>
      </c>
      <c r="E8" s="32">
        <f>'[1]5.a'!F89</f>
        <v>9408095</v>
      </c>
      <c r="F8" s="32">
        <f>'[1]5.a'!G89</f>
        <v>0</v>
      </c>
      <c r="G8" s="32">
        <f>'[1]5.a'!H89</f>
        <v>4563836</v>
      </c>
      <c r="H8" s="32">
        <f>'[1]5.a'!I89</f>
        <v>0</v>
      </c>
      <c r="I8" s="32">
        <f>'[1]5.a'!J89</f>
        <v>0</v>
      </c>
      <c r="J8" s="32">
        <f>'[1]5.a'!K89</f>
        <v>1000</v>
      </c>
      <c r="K8" s="32">
        <f>'[1]5.a'!L89</f>
        <v>132076</v>
      </c>
      <c r="L8" s="32">
        <f>'[1]5.a'!M89</f>
        <v>15263430</v>
      </c>
      <c r="M8" s="32">
        <f>'[1]5.a'!N89</f>
        <v>8320000</v>
      </c>
      <c r="N8" s="32">
        <f t="shared" si="0"/>
        <v>37813672</v>
      </c>
    </row>
    <row r="9" spans="1:14" ht="17.100000000000001" customHeight="1" x14ac:dyDescent="0.2">
      <c r="A9" s="31"/>
      <c r="B9" s="31">
        <v>17</v>
      </c>
      <c r="C9" s="30" t="s">
        <v>310</v>
      </c>
      <c r="D9" s="32">
        <f>'[1]5.a'!E114</f>
        <v>0</v>
      </c>
      <c r="E9" s="32">
        <f>'[1]5.a'!F114</f>
        <v>0</v>
      </c>
      <c r="F9" s="32">
        <f>'[1]5.a'!G114</f>
        <v>0</v>
      </c>
      <c r="G9" s="32">
        <f>'[1]5.a'!H114</f>
        <v>431671</v>
      </c>
      <c r="H9" s="32">
        <f>'[1]5.a'!I114</f>
        <v>78955</v>
      </c>
      <c r="I9" s="32">
        <f>'[1]5.a'!J114</f>
        <v>0</v>
      </c>
      <c r="J9" s="32">
        <f>'[1]5.a'!K114</f>
        <v>3000</v>
      </c>
      <c r="K9" s="32">
        <f>'[1]5.a'!L114</f>
        <v>0</v>
      </c>
      <c r="L9" s="32">
        <f>'[1]5.a'!M114</f>
        <v>120537</v>
      </c>
      <c r="M9" s="32">
        <f>'[1]5.a'!N114</f>
        <v>117483</v>
      </c>
      <c r="N9" s="32">
        <f t="shared" si="0"/>
        <v>751646</v>
      </c>
    </row>
    <row r="10" spans="1:14" ht="17.100000000000001" customHeight="1" x14ac:dyDescent="0.2">
      <c r="A10" s="31"/>
      <c r="B10" s="31">
        <v>18</v>
      </c>
      <c r="C10" s="30" t="s">
        <v>311</v>
      </c>
      <c r="D10" s="32">
        <f>'[1]5.a'!E123</f>
        <v>0</v>
      </c>
      <c r="E10" s="32">
        <f>'[1]5.a'!F123</f>
        <v>0</v>
      </c>
      <c r="F10" s="32">
        <f>'[1]5.a'!G123</f>
        <v>3000</v>
      </c>
      <c r="G10" s="32">
        <f>'[1]5.a'!H123</f>
        <v>76148</v>
      </c>
      <c r="H10" s="32">
        <f>'[1]5.a'!I123</f>
        <v>0</v>
      </c>
      <c r="I10" s="32">
        <f>'[1]5.a'!J123</f>
        <v>0</v>
      </c>
      <c r="J10" s="32">
        <f>'[1]5.a'!K123</f>
        <v>0</v>
      </c>
      <c r="K10" s="32">
        <f>'[1]5.a'!L123</f>
        <v>0</v>
      </c>
      <c r="L10" s="32">
        <f>'[1]5.a'!M123</f>
        <v>0</v>
      </c>
      <c r="M10" s="32">
        <f>'[1]5.a'!N123</f>
        <v>0</v>
      </c>
      <c r="N10" s="32">
        <f t="shared" si="0"/>
        <v>79148</v>
      </c>
    </row>
    <row r="11" spans="1:14" ht="17.100000000000001" customHeight="1" x14ac:dyDescent="0.2">
      <c r="A11" s="31"/>
      <c r="B11" s="31">
        <v>19</v>
      </c>
      <c r="C11" s="30" t="s">
        <v>206</v>
      </c>
      <c r="D11" s="32">
        <f>'[1]5.a'!E158</f>
        <v>3479833</v>
      </c>
      <c r="E11" s="32">
        <f>'[1]5.a'!F158</f>
        <v>18531</v>
      </c>
      <c r="F11" s="32">
        <f>'[1]5.a'!G158</f>
        <v>5804000</v>
      </c>
      <c r="G11" s="32">
        <f>'[1]5.a'!H158</f>
        <v>116413</v>
      </c>
      <c r="H11" s="32">
        <f>'[1]5.a'!I158</f>
        <v>0</v>
      </c>
      <c r="I11" s="32">
        <f>'[1]5.a'!J158</f>
        <v>0</v>
      </c>
      <c r="J11" s="32">
        <f>'[1]5.a'!K158</f>
        <v>0</v>
      </c>
      <c r="K11" s="32">
        <f>'[1]5.a'!L158</f>
        <v>17924</v>
      </c>
      <c r="L11" s="32">
        <f>'[1]5.a'!M158</f>
        <v>1332263</v>
      </c>
      <c r="M11" s="32">
        <f>'[1]5.a'!N158</f>
        <v>12451519</v>
      </c>
      <c r="N11" s="32">
        <f t="shared" si="0"/>
        <v>23220483</v>
      </c>
    </row>
    <row r="12" spans="1:14" ht="17.100000000000001" customHeight="1" x14ac:dyDescent="0.2">
      <c r="A12" s="31"/>
      <c r="B12" s="31">
        <v>20</v>
      </c>
      <c r="C12" s="7" t="s">
        <v>132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>
        <f t="shared" si="0"/>
        <v>0</v>
      </c>
    </row>
    <row r="13" spans="1:14" ht="17.100000000000001" customHeight="1" x14ac:dyDescent="0.2">
      <c r="A13" s="31"/>
      <c r="B13" s="31">
        <v>22</v>
      </c>
      <c r="C13" s="683" t="s">
        <v>136</v>
      </c>
      <c r="D13" s="32">
        <f>'[1]5.a'!E169</f>
        <v>9460</v>
      </c>
      <c r="E13" s="32">
        <f>'[1]5.a'!F169</f>
        <v>0</v>
      </c>
      <c r="F13" s="32">
        <f>'[1]5.a'!G169</f>
        <v>0</v>
      </c>
      <c r="G13" s="32">
        <f>'[1]5.a'!H169</f>
        <v>15748</v>
      </c>
      <c r="H13" s="32">
        <f>'[1]5.a'!I169</f>
        <v>0</v>
      </c>
      <c r="I13" s="32">
        <f>'[1]5.a'!J169</f>
        <v>50</v>
      </c>
      <c r="J13" s="32">
        <f>'[1]5.a'!K169</f>
        <v>0</v>
      </c>
      <c r="K13" s="32">
        <f>'[1]5.a'!L169</f>
        <v>0</v>
      </c>
      <c r="L13" s="32">
        <f>'[1]5.a'!M169</f>
        <v>0</v>
      </c>
      <c r="M13" s="32">
        <f>'[1]5.a'!N169</f>
        <v>0</v>
      </c>
      <c r="N13" s="32">
        <f t="shared" si="0"/>
        <v>25258</v>
      </c>
    </row>
    <row r="14" spans="1:14" ht="36" customHeight="1" x14ac:dyDescent="0.2">
      <c r="A14" s="33"/>
      <c r="B14" s="33"/>
      <c r="C14" s="53" t="s">
        <v>139</v>
      </c>
      <c r="D14" s="49">
        <f t="shared" ref="D14:M14" si="1">SUM(D4:D13)</f>
        <v>3655629</v>
      </c>
      <c r="E14" s="49">
        <f t="shared" si="1"/>
        <v>9429125</v>
      </c>
      <c r="F14" s="49">
        <f t="shared" si="1"/>
        <v>5807000</v>
      </c>
      <c r="G14" s="49">
        <f t="shared" si="1"/>
        <v>5774377</v>
      </c>
      <c r="H14" s="49">
        <f t="shared" si="1"/>
        <v>78955</v>
      </c>
      <c r="I14" s="49">
        <f t="shared" si="1"/>
        <v>17972</v>
      </c>
      <c r="J14" s="49">
        <f t="shared" si="1"/>
        <v>4000</v>
      </c>
      <c r="K14" s="49">
        <f t="shared" si="1"/>
        <v>150000</v>
      </c>
      <c r="L14" s="49">
        <f t="shared" si="1"/>
        <v>16716230</v>
      </c>
      <c r="M14" s="49">
        <f t="shared" si="1"/>
        <v>20889002</v>
      </c>
      <c r="N14" s="49">
        <f t="shared" si="0"/>
        <v>62522290</v>
      </c>
    </row>
    <row r="15" spans="1:14" ht="17.100000000000001" customHeight="1" x14ac:dyDescent="0.2">
      <c r="A15" s="35">
        <v>2</v>
      </c>
      <c r="B15" s="35"/>
      <c r="C15" s="30" t="s">
        <v>314</v>
      </c>
      <c r="D15" s="32">
        <f>'[1]5.a'!E171</f>
        <v>991879</v>
      </c>
      <c r="E15" s="32">
        <f>'[1]5.a'!F171</f>
        <v>4760</v>
      </c>
      <c r="F15" s="32">
        <f>'[1]5.a'!G171</f>
        <v>0</v>
      </c>
      <c r="G15" s="32">
        <f>'[1]5.a'!H171</f>
        <v>1262294</v>
      </c>
      <c r="H15" s="32">
        <f>'[1]5.a'!I171</f>
        <v>51</v>
      </c>
      <c r="I15" s="32">
        <f>'[1]5.a'!J171</f>
        <v>250</v>
      </c>
      <c r="J15" s="32">
        <f>'[1]5.a'!K171</f>
        <v>0</v>
      </c>
      <c r="K15" s="32"/>
      <c r="L15" s="32">
        <f>'[1]5.a'!M171</f>
        <v>571197</v>
      </c>
      <c r="M15" s="32"/>
      <c r="N15" s="32">
        <f t="shared" si="0"/>
        <v>2830431</v>
      </c>
    </row>
    <row r="16" spans="1:14" ht="17.100000000000001" customHeight="1" x14ac:dyDescent="0.2">
      <c r="A16" s="33"/>
      <c r="B16" s="33"/>
      <c r="C16" s="34" t="s">
        <v>304</v>
      </c>
      <c r="D16" s="49">
        <f t="shared" ref="D16:M16" si="2">SUM(D14:D15)</f>
        <v>4647508</v>
      </c>
      <c r="E16" s="49">
        <f t="shared" si="2"/>
        <v>9433885</v>
      </c>
      <c r="F16" s="49">
        <f t="shared" si="2"/>
        <v>5807000</v>
      </c>
      <c r="G16" s="49">
        <f t="shared" si="2"/>
        <v>7036671</v>
      </c>
      <c r="H16" s="49">
        <f t="shared" si="2"/>
        <v>79006</v>
      </c>
      <c r="I16" s="49">
        <f t="shared" si="2"/>
        <v>18222</v>
      </c>
      <c r="J16" s="49">
        <f t="shared" si="2"/>
        <v>4000</v>
      </c>
      <c r="K16" s="49">
        <f t="shared" si="2"/>
        <v>150000</v>
      </c>
      <c r="L16" s="49">
        <f t="shared" si="2"/>
        <v>17287427</v>
      </c>
      <c r="M16" s="49">
        <f t="shared" si="2"/>
        <v>20889002</v>
      </c>
      <c r="N16" s="49">
        <f>SUM(D16:M16)</f>
        <v>65352721</v>
      </c>
    </row>
    <row r="17" spans="3:13" ht="17.100000000000001" customHeight="1" x14ac:dyDescent="0.2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3:13" ht="14.1" customHeight="1" x14ac:dyDescent="0.2">
      <c r="C18" s="17"/>
      <c r="D18" s="18"/>
      <c r="E18" s="18"/>
      <c r="F18" s="18"/>
      <c r="G18" s="18"/>
      <c r="H18" s="18"/>
      <c r="I18" s="18"/>
      <c r="J18" s="18"/>
      <c r="K18" s="18"/>
      <c r="L18" s="18"/>
    </row>
    <row r="19" spans="3:13" ht="14.1" customHeight="1" x14ac:dyDescent="0.2">
      <c r="D19" s="18"/>
      <c r="E19" s="18"/>
      <c r="F19" s="18"/>
      <c r="G19" s="18"/>
      <c r="H19" s="18"/>
      <c r="I19" s="18"/>
      <c r="J19" s="18"/>
      <c r="K19" s="18"/>
      <c r="L19" s="18"/>
    </row>
    <row r="20" spans="3:13" ht="14.1" customHeight="1" x14ac:dyDescent="0.2">
      <c r="D20" s="18"/>
      <c r="E20" s="18"/>
      <c r="F20" s="18"/>
      <c r="G20" s="18"/>
      <c r="H20" s="18"/>
      <c r="I20" s="18"/>
      <c r="J20" s="18"/>
      <c r="K20" s="18"/>
      <c r="L20" s="18"/>
    </row>
    <row r="21" spans="3:13" ht="14.1" customHeight="1" x14ac:dyDescent="0.2">
      <c r="D21" s="18"/>
      <c r="E21" s="18"/>
      <c r="F21" s="18"/>
      <c r="G21" s="18"/>
      <c r="H21" s="18"/>
      <c r="I21" s="18"/>
      <c r="J21" s="18"/>
      <c r="K21" s="18"/>
      <c r="L21" s="18"/>
    </row>
    <row r="22" spans="3:13" ht="14.1" customHeight="1" x14ac:dyDescent="0.2">
      <c r="D22" s="18"/>
      <c r="E22" s="18"/>
      <c r="F22" s="18"/>
      <c r="G22" s="18"/>
      <c r="H22" s="18"/>
      <c r="I22" s="18"/>
      <c r="J22" s="18"/>
      <c r="K22" s="18"/>
      <c r="L22" s="18"/>
    </row>
    <row r="23" spans="3:13" ht="14.1" customHeight="1" x14ac:dyDescent="0.2">
      <c r="D23" s="18"/>
      <c r="E23" s="18"/>
      <c r="F23" s="18"/>
      <c r="G23" s="18"/>
      <c r="H23" s="18"/>
      <c r="I23" s="18"/>
      <c r="J23" s="18"/>
      <c r="K23" s="18"/>
      <c r="L23" s="18"/>
    </row>
    <row r="24" spans="3:13" ht="14.1" customHeight="1" x14ac:dyDescent="0.2">
      <c r="D24" s="18"/>
      <c r="E24" s="18"/>
      <c r="F24" s="18"/>
      <c r="G24" s="18"/>
      <c r="H24" s="18"/>
      <c r="I24" s="18"/>
      <c r="J24" s="18"/>
      <c r="K24" s="18"/>
      <c r="L24" s="18"/>
    </row>
    <row r="25" spans="3:13" ht="14.1" customHeight="1" x14ac:dyDescent="0.2">
      <c r="D25" s="18"/>
      <c r="E25" s="18"/>
      <c r="F25" s="18"/>
      <c r="G25" s="18"/>
      <c r="H25" s="18"/>
      <c r="I25" s="18"/>
      <c r="J25" s="18"/>
      <c r="K25" s="18"/>
      <c r="L25" s="18"/>
    </row>
    <row r="26" spans="3:13" ht="14.1" customHeight="1" x14ac:dyDescent="0.2">
      <c r="D26" s="18"/>
      <c r="E26" s="18"/>
      <c r="F26" s="18"/>
      <c r="G26" s="18"/>
      <c r="H26" s="18"/>
      <c r="I26" s="18"/>
      <c r="J26" s="18"/>
      <c r="K26" s="18"/>
      <c r="L26" s="18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78"/>
  <sheetViews>
    <sheetView zoomScale="96" zoomScaleNormal="96" workbookViewId="0">
      <pane ySplit="1" topLeftCell="A149" activePane="bottomLeft" state="frozen"/>
      <selection pane="bottomLeft" activeCell="E174" sqref="E174"/>
    </sheetView>
  </sheetViews>
  <sheetFormatPr defaultColWidth="5.33203125" defaultRowHeight="12.75" x14ac:dyDescent="0.2"/>
  <cols>
    <col min="1" max="1" width="5.33203125" style="123" customWidth="1"/>
    <col min="2" max="2" width="5.5" style="123" customWidth="1"/>
    <col min="3" max="3" width="40.83203125" style="123" customWidth="1"/>
    <col min="4" max="4" width="14.83203125" style="150" customWidth="1"/>
    <col min="5" max="5" width="13" style="123" customWidth="1"/>
    <col min="6" max="6" width="13.1640625" style="123" customWidth="1"/>
    <col min="7" max="7" width="12.33203125" style="123" customWidth="1"/>
    <col min="8" max="8" width="11.33203125" style="123" customWidth="1"/>
    <col min="9" max="9" width="11.83203125" style="123" customWidth="1"/>
    <col min="10" max="10" width="10.83203125" style="123" customWidth="1"/>
    <col min="11" max="11" width="13.1640625" style="123" customWidth="1"/>
    <col min="12" max="12" width="11.5" style="123" customWidth="1"/>
    <col min="13" max="14" width="12.33203125" style="123" customWidth="1"/>
    <col min="15" max="15" width="13.1640625" style="123" customWidth="1"/>
    <col min="16" max="16" width="7.33203125" style="123" customWidth="1"/>
    <col min="17" max="255" width="9.33203125" style="123" customWidth="1"/>
    <col min="256" max="16384" width="5.33203125" style="123"/>
  </cols>
  <sheetData>
    <row r="1" spans="1:256" ht="13.5" customHeight="1" x14ac:dyDescent="0.25">
      <c r="A1" s="761" t="s">
        <v>208</v>
      </c>
      <c r="B1" s="761" t="s">
        <v>209</v>
      </c>
      <c r="C1" s="757" t="s">
        <v>253</v>
      </c>
      <c r="D1" s="761" t="s">
        <v>415</v>
      </c>
      <c r="E1" s="758" t="s">
        <v>260</v>
      </c>
      <c r="F1" s="758"/>
      <c r="G1" s="758"/>
      <c r="H1" s="758"/>
      <c r="I1" s="758"/>
      <c r="J1" s="758"/>
      <c r="K1" s="758"/>
      <c r="L1" s="759" t="s">
        <v>331</v>
      </c>
      <c r="M1" s="759"/>
      <c r="N1" s="759"/>
      <c r="O1" s="757" t="s">
        <v>140</v>
      </c>
    </row>
    <row r="2" spans="1:256" ht="67.5" x14ac:dyDescent="0.2">
      <c r="A2" s="761"/>
      <c r="B2" s="761"/>
      <c r="C2" s="757"/>
      <c r="D2" s="762"/>
      <c r="E2" s="124" t="s">
        <v>141</v>
      </c>
      <c r="F2" s="124" t="s">
        <v>142</v>
      </c>
      <c r="G2" s="125" t="s">
        <v>143</v>
      </c>
      <c r="H2" s="126" t="s">
        <v>327</v>
      </c>
      <c r="I2" s="125" t="s">
        <v>328</v>
      </c>
      <c r="J2" s="125" t="s">
        <v>329</v>
      </c>
      <c r="K2" s="125" t="s">
        <v>330</v>
      </c>
      <c r="L2" s="125" t="s">
        <v>261</v>
      </c>
      <c r="M2" s="125" t="s">
        <v>262</v>
      </c>
      <c r="N2" s="125" t="s">
        <v>264</v>
      </c>
      <c r="O2" s="75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13.5" x14ac:dyDescent="0.2">
      <c r="A3" s="128">
        <v>1</v>
      </c>
      <c r="B3" s="128"/>
      <c r="C3" s="381" t="s">
        <v>313</v>
      </c>
      <c r="D3" s="382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ht="13.5" x14ac:dyDescent="0.2">
      <c r="A4" s="129">
        <v>1</v>
      </c>
      <c r="B4" s="129">
        <v>1</v>
      </c>
      <c r="C4" s="384" t="s">
        <v>131</v>
      </c>
      <c r="D4" s="385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ht="13.5" x14ac:dyDescent="0.2">
      <c r="A5" s="131">
        <v>1</v>
      </c>
      <c r="B5" s="131">
        <v>12</v>
      </c>
      <c r="C5" s="387" t="s">
        <v>224</v>
      </c>
      <c r="D5" s="388"/>
      <c r="E5" s="389"/>
      <c r="F5" s="389"/>
      <c r="G5" s="390"/>
      <c r="H5" s="390"/>
      <c r="I5" s="390"/>
      <c r="J5" s="390"/>
      <c r="K5" s="390"/>
      <c r="L5" s="390"/>
      <c r="M5" s="390"/>
      <c r="N5" s="390"/>
      <c r="O5" s="390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pans="1:256" ht="25.5" x14ac:dyDescent="0.2">
      <c r="A6" s="131"/>
      <c r="B6" s="131"/>
      <c r="C6" s="391" t="s">
        <v>416</v>
      </c>
      <c r="D6" s="392"/>
      <c r="E6" s="389"/>
      <c r="F6" s="389"/>
      <c r="G6" s="390"/>
      <c r="H6" s="390"/>
      <c r="I6" s="390"/>
      <c r="J6" s="390"/>
      <c r="K6" s="390"/>
      <c r="L6" s="390"/>
      <c r="M6" s="390"/>
      <c r="N6" s="390"/>
      <c r="O6" s="390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pans="1:256" x14ac:dyDescent="0.2">
      <c r="A7" s="129"/>
      <c r="B7" s="129"/>
      <c r="C7" s="393" t="s">
        <v>417</v>
      </c>
      <c r="D7" s="394">
        <v>221902</v>
      </c>
      <c r="E7" s="390">
        <f>0+[1]táj.1!E7</f>
        <v>0</v>
      </c>
      <c r="F7" s="390">
        <f>0+[1]táj.1!F7</f>
        <v>0</v>
      </c>
      <c r="G7" s="390">
        <f>0+[1]táj.1!G7</f>
        <v>0</v>
      </c>
      <c r="H7" s="390">
        <f>9906+[1]táj.1!H7</f>
        <v>9906</v>
      </c>
      <c r="I7" s="390">
        <f>0+[1]táj.1!I7</f>
        <v>0</v>
      </c>
      <c r="J7" s="390">
        <f>0+[1]táj.1!J7</f>
        <v>0</v>
      </c>
      <c r="K7" s="390">
        <f>0+[1]táj.1!K7</f>
        <v>0</v>
      </c>
      <c r="L7" s="390">
        <f>0+[1]táj.1!L7</f>
        <v>0</v>
      </c>
      <c r="M7" s="390">
        <f>0+[1]táj.1!M7</f>
        <v>0</v>
      </c>
      <c r="N7" s="390">
        <f>0+[1]táj.1!N7</f>
        <v>0</v>
      </c>
      <c r="O7" s="390">
        <f>SUM(H7:N7)</f>
        <v>9906</v>
      </c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ht="13.5" x14ac:dyDescent="0.2">
      <c r="A8" s="133"/>
      <c r="B8" s="133"/>
      <c r="C8" s="395" t="s">
        <v>418</v>
      </c>
      <c r="D8" s="396"/>
      <c r="E8" s="396">
        <f t="shared" ref="E8:O8" si="0">SUM(E5:E7)</f>
        <v>0</v>
      </c>
      <c r="F8" s="396">
        <f t="shared" si="0"/>
        <v>0</v>
      </c>
      <c r="G8" s="396">
        <f t="shared" si="0"/>
        <v>0</v>
      </c>
      <c r="H8" s="396">
        <f t="shared" si="0"/>
        <v>9906</v>
      </c>
      <c r="I8" s="396">
        <f t="shared" si="0"/>
        <v>0</v>
      </c>
      <c r="J8" s="396">
        <f t="shared" si="0"/>
        <v>0</v>
      </c>
      <c r="K8" s="396">
        <f t="shared" si="0"/>
        <v>0</v>
      </c>
      <c r="L8" s="396">
        <f t="shared" si="0"/>
        <v>0</v>
      </c>
      <c r="M8" s="396">
        <f t="shared" si="0"/>
        <v>0</v>
      </c>
      <c r="N8" s="396">
        <f t="shared" si="0"/>
        <v>0</v>
      </c>
      <c r="O8" s="396">
        <f t="shared" si="0"/>
        <v>9906</v>
      </c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  <c r="IU8" s="132"/>
      <c r="IV8" s="132"/>
    </row>
    <row r="9" spans="1:256" ht="13.5" x14ac:dyDescent="0.2">
      <c r="A9" s="130">
        <v>1</v>
      </c>
      <c r="B9" s="130">
        <v>13</v>
      </c>
      <c r="C9" s="387" t="s">
        <v>225</v>
      </c>
      <c r="D9" s="394"/>
      <c r="E9" s="397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pans="1:256" ht="13.5" x14ac:dyDescent="0.2">
      <c r="A10" s="130"/>
      <c r="B10" s="130"/>
      <c r="C10" s="391" t="s">
        <v>419</v>
      </c>
      <c r="D10" s="394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pans="1:256" ht="25.5" x14ac:dyDescent="0.2">
      <c r="A11" s="130"/>
      <c r="B11" s="130"/>
      <c r="C11" s="391" t="s">
        <v>420</v>
      </c>
      <c r="D11" s="635">
        <v>131705</v>
      </c>
      <c r="E11" s="390">
        <f>41101+[1]táj.1!E11</f>
        <v>41101</v>
      </c>
      <c r="F11" s="390">
        <f>0+[1]táj.1!F11</f>
        <v>0</v>
      </c>
      <c r="G11" s="390">
        <f>0+[1]táj.1!G11</f>
        <v>0</v>
      </c>
      <c r="H11" s="390">
        <f>0+[1]táj.1!H11</f>
        <v>0</v>
      </c>
      <c r="I11" s="390">
        <f>0+[1]táj.1!I11</f>
        <v>0</v>
      </c>
      <c r="J11" s="390">
        <f>0+[1]táj.1!J11</f>
        <v>0</v>
      </c>
      <c r="K11" s="390">
        <f>0+[1]táj.1!K11</f>
        <v>0</v>
      </c>
      <c r="L11" s="390">
        <f>0+[1]táj.1!L11</f>
        <v>0</v>
      </c>
      <c r="M11" s="390">
        <f>0+[1]táj.1!M11</f>
        <v>0</v>
      </c>
      <c r="N11" s="390">
        <f>0+[1]táj.1!N11</f>
        <v>0</v>
      </c>
      <c r="O11" s="390">
        <f>SUM(E11:N11)</f>
        <v>41101</v>
      </c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pans="1:256" ht="25.5" x14ac:dyDescent="0.2">
      <c r="A12" s="130"/>
      <c r="B12" s="130"/>
      <c r="C12" s="399" t="s">
        <v>421</v>
      </c>
      <c r="D12" s="394" t="s">
        <v>207</v>
      </c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400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pans="1:256" ht="25.5" x14ac:dyDescent="0.2">
      <c r="A13" s="130"/>
      <c r="B13" s="130"/>
      <c r="C13" s="399" t="s">
        <v>422</v>
      </c>
      <c r="D13" s="635">
        <v>131703</v>
      </c>
      <c r="E13" s="390">
        <f>0+[1]táj.1!E13</f>
        <v>0</v>
      </c>
      <c r="F13" s="390">
        <f>0+[1]táj.1!F13</f>
        <v>0</v>
      </c>
      <c r="G13" s="390">
        <f>0+[1]táj.1!G13</f>
        <v>0</v>
      </c>
      <c r="H13" s="390">
        <f>5715+[1]táj.1!H13</f>
        <v>5715</v>
      </c>
      <c r="I13" s="390">
        <f>0+[1]táj.1!I13</f>
        <v>0</v>
      </c>
      <c r="J13" s="390">
        <f>0+[1]táj.1!J13</f>
        <v>0</v>
      </c>
      <c r="K13" s="390">
        <f>0+[1]táj.1!K13</f>
        <v>0</v>
      </c>
      <c r="L13" s="390">
        <f>0+[1]táj.1!L13</f>
        <v>0</v>
      </c>
      <c r="M13" s="390">
        <f>0+[1]táj.1!M13</f>
        <v>0</v>
      </c>
      <c r="N13" s="390">
        <f>0+[1]táj.1!N13</f>
        <v>0</v>
      </c>
      <c r="O13" s="390">
        <f>SUM(E13:N13)</f>
        <v>5715</v>
      </c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pans="1:256" ht="24" x14ac:dyDescent="0.2">
      <c r="A14" s="130"/>
      <c r="B14" s="130"/>
      <c r="C14" s="136" t="s">
        <v>1492</v>
      </c>
      <c r="D14" s="709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pans="1:256" ht="13.5" x14ac:dyDescent="0.2">
      <c r="A15" s="130"/>
      <c r="B15" s="130"/>
      <c r="C15" s="136" t="s">
        <v>66</v>
      </c>
      <c r="D15" s="710">
        <v>131716</v>
      </c>
      <c r="E15" s="390">
        <f>0+[1]táj.1!E15</f>
        <v>0</v>
      </c>
      <c r="F15" s="390">
        <f>0+[1]táj.1!F15</f>
        <v>0</v>
      </c>
      <c r="G15" s="390">
        <f>0+[1]táj.1!G15</f>
        <v>0</v>
      </c>
      <c r="H15" s="390">
        <f>0+[1]táj.1!H15</f>
        <v>0</v>
      </c>
      <c r="I15" s="390">
        <f>0+[1]táj.1!I15</f>
        <v>0</v>
      </c>
      <c r="J15" s="390">
        <f>0+[1]táj.1!J15</f>
        <v>15922</v>
      </c>
      <c r="K15" s="390">
        <f>0+[1]táj.1!K15</f>
        <v>0</v>
      </c>
      <c r="L15" s="390">
        <f>0+[1]táj.1!L15</f>
        <v>0</v>
      </c>
      <c r="M15" s="390">
        <f>0+[1]táj.1!M15</f>
        <v>0</v>
      </c>
      <c r="N15" s="390">
        <f>0+[1]táj.1!N15</f>
        <v>0</v>
      </c>
      <c r="O15" s="390">
        <f>SUM(E15:N15)</f>
        <v>15922</v>
      </c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pans="1:256" ht="24" x14ac:dyDescent="0.2">
      <c r="A16" s="130"/>
      <c r="B16" s="130"/>
      <c r="C16" s="136" t="s">
        <v>568</v>
      </c>
      <c r="D16" s="709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pans="1:256" ht="13.5" x14ac:dyDescent="0.2">
      <c r="A17" s="130"/>
      <c r="B17" s="130"/>
      <c r="C17" s="399" t="s">
        <v>1493</v>
      </c>
      <c r="D17" s="711">
        <v>131845</v>
      </c>
      <c r="E17" s="390">
        <f>0+[1]táj.1!E17</f>
        <v>0</v>
      </c>
      <c r="F17" s="390">
        <f>0+[1]táj.1!F17</f>
        <v>0</v>
      </c>
      <c r="G17" s="390">
        <f>0+[1]táj.1!G17</f>
        <v>0</v>
      </c>
      <c r="H17" s="390">
        <f>0+[1]táj.1!H17</f>
        <v>0</v>
      </c>
      <c r="I17" s="390">
        <f>0+[1]táj.1!I17</f>
        <v>0</v>
      </c>
      <c r="J17" s="390">
        <f>0+[1]táj.1!J17</f>
        <v>2000</v>
      </c>
      <c r="K17" s="390">
        <f>0+[1]táj.1!K17</f>
        <v>0</v>
      </c>
      <c r="L17" s="390">
        <f>0+[1]táj.1!L17</f>
        <v>0</v>
      </c>
      <c r="M17" s="390">
        <f>0+[1]táj.1!M17</f>
        <v>0</v>
      </c>
      <c r="N17" s="390">
        <f>0+[1]táj.1!N17</f>
        <v>0</v>
      </c>
      <c r="O17" s="390">
        <f>SUM(E17:N17)</f>
        <v>2000</v>
      </c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pans="1:256" ht="13.5" x14ac:dyDescent="0.2">
      <c r="A18" s="133"/>
      <c r="B18" s="133"/>
      <c r="C18" s="395" t="s">
        <v>423</v>
      </c>
      <c r="D18" s="401"/>
      <c r="E18" s="396">
        <f>SUM(E11:E17)</f>
        <v>41101</v>
      </c>
      <c r="F18" s="396">
        <f>SUM(F11:F17)</f>
        <v>0</v>
      </c>
      <c r="G18" s="396">
        <f>SUM(G11:G17)</f>
        <v>0</v>
      </c>
      <c r="H18" s="396">
        <f>SUM(H11:H17)</f>
        <v>5715</v>
      </c>
      <c r="I18" s="396">
        <f t="shared" ref="I18:O18" si="1">SUM(I11:I17)</f>
        <v>0</v>
      </c>
      <c r="J18" s="396">
        <f t="shared" si="1"/>
        <v>17922</v>
      </c>
      <c r="K18" s="396">
        <f t="shared" si="1"/>
        <v>0</v>
      </c>
      <c r="L18" s="396">
        <f t="shared" si="1"/>
        <v>0</v>
      </c>
      <c r="M18" s="396">
        <f t="shared" si="1"/>
        <v>0</v>
      </c>
      <c r="N18" s="396">
        <f t="shared" si="1"/>
        <v>0</v>
      </c>
      <c r="O18" s="396">
        <f t="shared" si="1"/>
        <v>64738</v>
      </c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  <c r="IJ18" s="132"/>
      <c r="IK18" s="132"/>
      <c r="IL18" s="132"/>
      <c r="IM18" s="132"/>
      <c r="IN18" s="132"/>
      <c r="IO18" s="132"/>
      <c r="IP18" s="132"/>
      <c r="IQ18" s="132"/>
      <c r="IR18" s="132"/>
      <c r="IS18" s="132"/>
      <c r="IT18" s="132"/>
      <c r="IU18" s="132"/>
      <c r="IV18" s="132"/>
    </row>
    <row r="19" spans="1:256" ht="13.5" x14ac:dyDescent="0.2">
      <c r="A19" s="135">
        <v>1</v>
      </c>
      <c r="B19" s="135">
        <v>14</v>
      </c>
      <c r="C19" s="402" t="s">
        <v>315</v>
      </c>
      <c r="D19" s="403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  <c r="IJ19" s="132"/>
      <c r="IK19" s="132"/>
      <c r="IL19" s="132"/>
      <c r="IM19" s="132"/>
      <c r="IN19" s="132"/>
      <c r="IO19" s="132"/>
      <c r="IP19" s="132"/>
      <c r="IQ19" s="132"/>
      <c r="IR19" s="132"/>
      <c r="IS19" s="132"/>
      <c r="IT19" s="132"/>
      <c r="IU19" s="132"/>
      <c r="IV19" s="132"/>
    </row>
    <row r="20" spans="1:256" ht="25.5" x14ac:dyDescent="0.2">
      <c r="A20" s="130"/>
      <c r="B20" s="130"/>
      <c r="C20" s="404" t="s">
        <v>424</v>
      </c>
      <c r="D20" s="405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  <c r="IJ20" s="132"/>
      <c r="IK20" s="132"/>
      <c r="IL20" s="132"/>
      <c r="IM20" s="132"/>
      <c r="IN20" s="132"/>
      <c r="IO20" s="132"/>
      <c r="IP20" s="132"/>
      <c r="IQ20" s="132"/>
      <c r="IR20" s="132"/>
      <c r="IS20" s="132"/>
      <c r="IT20" s="132"/>
      <c r="IU20" s="132"/>
      <c r="IV20" s="132"/>
    </row>
    <row r="21" spans="1:256" ht="25.5" x14ac:dyDescent="0.2">
      <c r="A21" s="130"/>
      <c r="B21" s="130"/>
      <c r="C21" s="406" t="s">
        <v>425</v>
      </c>
      <c r="D21" s="407">
        <v>171967</v>
      </c>
      <c r="E21" s="454">
        <f>0+[1]táj.1!E21</f>
        <v>0</v>
      </c>
      <c r="F21" s="454">
        <f>0+[1]táj.1!F21</f>
        <v>0</v>
      </c>
      <c r="G21" s="454">
        <f>0+[1]táj.1!G21</f>
        <v>0</v>
      </c>
      <c r="H21" s="454">
        <f>5080+[1]táj.1!H21</f>
        <v>5080</v>
      </c>
      <c r="I21" s="454">
        <f>0+[1]táj.1!I21</f>
        <v>0</v>
      </c>
      <c r="J21" s="454">
        <f>0+[1]táj.1!J21</f>
        <v>0</v>
      </c>
      <c r="K21" s="454">
        <f>0+[1]táj.1!K21</f>
        <v>0</v>
      </c>
      <c r="L21" s="454">
        <f>0+[1]táj.1!L21</f>
        <v>0</v>
      </c>
      <c r="M21" s="454">
        <f>0+[1]táj.1!M21</f>
        <v>0</v>
      </c>
      <c r="N21" s="454">
        <f>0+[1]táj.1!N21</f>
        <v>0</v>
      </c>
      <c r="O21" s="390">
        <f>SUM(E21:N21)</f>
        <v>5080</v>
      </c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  <c r="IR21" s="132"/>
      <c r="IS21" s="132"/>
      <c r="IT21" s="132"/>
      <c r="IU21" s="132"/>
      <c r="IV21" s="132"/>
    </row>
    <row r="22" spans="1:256" ht="13.5" x14ac:dyDescent="0.2">
      <c r="A22" s="133"/>
      <c r="B22" s="133"/>
      <c r="C22" s="395" t="s">
        <v>426</v>
      </c>
      <c r="D22" s="401"/>
      <c r="E22" s="396"/>
      <c r="F22" s="396"/>
      <c r="G22" s="396"/>
      <c r="H22" s="396">
        <f>SUM(H21:H21)</f>
        <v>5080</v>
      </c>
      <c r="I22" s="396"/>
      <c r="J22" s="396"/>
      <c r="K22" s="396"/>
      <c r="L22" s="396"/>
      <c r="M22" s="396"/>
      <c r="N22" s="396"/>
      <c r="O22" s="396">
        <f>SUM(O21:O21)</f>
        <v>5080</v>
      </c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  <c r="IJ22" s="132"/>
      <c r="IK22" s="132"/>
      <c r="IL22" s="132"/>
      <c r="IM22" s="132"/>
      <c r="IN22" s="132"/>
      <c r="IO22" s="132"/>
      <c r="IP22" s="132"/>
      <c r="IQ22" s="132"/>
      <c r="IR22" s="132"/>
      <c r="IS22" s="132"/>
      <c r="IT22" s="132"/>
      <c r="IU22" s="132"/>
      <c r="IV22" s="132"/>
    </row>
    <row r="23" spans="1:256" ht="13.5" x14ac:dyDescent="0.2">
      <c r="A23" s="129">
        <v>1</v>
      </c>
      <c r="B23" s="129">
        <v>15</v>
      </c>
      <c r="C23" s="384" t="s">
        <v>256</v>
      </c>
      <c r="D23" s="408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</row>
    <row r="24" spans="1:256" ht="25.5" x14ac:dyDescent="0.2">
      <c r="A24" s="129"/>
      <c r="B24" s="129"/>
      <c r="C24" s="409" t="s">
        <v>427</v>
      </c>
      <c r="D24" s="410"/>
      <c r="E24" s="397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</row>
    <row r="25" spans="1:256" ht="25.5" x14ac:dyDescent="0.2">
      <c r="A25" s="129"/>
      <c r="B25" s="129"/>
      <c r="C25" s="406" t="s">
        <v>428</v>
      </c>
      <c r="D25" s="410">
        <v>151906</v>
      </c>
      <c r="E25" s="390">
        <f>0+[1]táj.1!E25</f>
        <v>0</v>
      </c>
      <c r="F25" s="390">
        <f>0+[1]táj.1!F25</f>
        <v>0</v>
      </c>
      <c r="G25" s="390">
        <f>0+[1]táj.1!G25</f>
        <v>0</v>
      </c>
      <c r="H25" s="390">
        <f>36251+[1]táj.1!H25</f>
        <v>36251</v>
      </c>
      <c r="I25" s="390">
        <f>0+[1]táj.1!I25</f>
        <v>0</v>
      </c>
      <c r="J25" s="390">
        <f>0+[1]táj.1!J25</f>
        <v>0</v>
      </c>
      <c r="K25" s="390">
        <f>0+[1]táj.1!K25</f>
        <v>0</v>
      </c>
      <c r="L25" s="390">
        <f>0+[1]táj.1!L25</f>
        <v>0</v>
      </c>
      <c r="M25" s="390">
        <f>0+[1]táj.1!M25</f>
        <v>0</v>
      </c>
      <c r="N25" s="390">
        <f>0+[1]táj.1!N25</f>
        <v>0</v>
      </c>
      <c r="O25" s="390">
        <f>SUM(E25:N25)</f>
        <v>36251</v>
      </c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</row>
    <row r="26" spans="1:256" x14ac:dyDescent="0.2">
      <c r="A26" s="129"/>
      <c r="B26" s="129"/>
      <c r="C26" s="393" t="s">
        <v>429</v>
      </c>
      <c r="D26" s="411" t="s">
        <v>430</v>
      </c>
      <c r="E26" s="390">
        <f>0+[1]táj.1!E26</f>
        <v>0</v>
      </c>
      <c r="F26" s="390">
        <f>0+[1]táj.1!F26</f>
        <v>0</v>
      </c>
      <c r="G26" s="390">
        <f>0+[1]táj.1!G26</f>
        <v>0</v>
      </c>
      <c r="H26" s="390">
        <f>175260+[1]táj.1!H26</f>
        <v>175260</v>
      </c>
      <c r="I26" s="390">
        <f>0+[1]táj.1!I26</f>
        <v>0</v>
      </c>
      <c r="J26" s="390">
        <f>0+[1]táj.1!J26</f>
        <v>0</v>
      </c>
      <c r="K26" s="390">
        <f>0+[1]táj.1!K26</f>
        <v>0</v>
      </c>
      <c r="L26" s="390">
        <f>0+[1]táj.1!L26</f>
        <v>0</v>
      </c>
      <c r="M26" s="390">
        <f>0+[1]táj.1!M26</f>
        <v>0</v>
      </c>
      <c r="N26" s="390">
        <f>0+[1]táj.1!N26</f>
        <v>0</v>
      </c>
      <c r="O26" s="390">
        <f>SUM(E26:N26)</f>
        <v>175260</v>
      </c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pans="1:256" x14ac:dyDescent="0.2">
      <c r="A27" s="129"/>
      <c r="B27" s="129"/>
      <c r="C27" s="393" t="s">
        <v>431</v>
      </c>
      <c r="D27" s="411" t="s">
        <v>432</v>
      </c>
      <c r="E27" s="390">
        <f>0+[1]táj.1!E27</f>
        <v>0</v>
      </c>
      <c r="F27" s="390">
        <f>0+[1]táj.1!F27</f>
        <v>0</v>
      </c>
      <c r="G27" s="390">
        <f>0+[1]táj.1!G27</f>
        <v>0</v>
      </c>
      <c r="H27" s="390">
        <f>2667+[1]táj.1!H27</f>
        <v>2667</v>
      </c>
      <c r="I27" s="390">
        <f>0+[1]táj.1!I27</f>
        <v>0</v>
      </c>
      <c r="J27" s="390">
        <f>0+[1]táj.1!J27</f>
        <v>0</v>
      </c>
      <c r="K27" s="390">
        <f>0+[1]táj.1!K27</f>
        <v>0</v>
      </c>
      <c r="L27" s="390">
        <f>0+[1]táj.1!L27</f>
        <v>0</v>
      </c>
      <c r="M27" s="390">
        <f>0+[1]táj.1!M27</f>
        <v>0</v>
      </c>
      <c r="N27" s="390">
        <f>0+[1]táj.1!N27</f>
        <v>0</v>
      </c>
      <c r="O27" s="390">
        <f>SUM(E27:N27)</f>
        <v>2667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  <c r="IU27" s="127"/>
      <c r="IV27" s="127"/>
    </row>
    <row r="28" spans="1:256" x14ac:dyDescent="0.2">
      <c r="A28" s="129"/>
      <c r="B28" s="129"/>
      <c r="C28" s="412" t="s">
        <v>433</v>
      </c>
      <c r="D28" s="413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</row>
    <row r="29" spans="1:256" x14ac:dyDescent="0.2">
      <c r="A29" s="129"/>
      <c r="B29" s="129"/>
      <c r="C29" s="393" t="s">
        <v>434</v>
      </c>
      <c r="D29" s="411" t="s">
        <v>435</v>
      </c>
      <c r="E29" s="390">
        <f>0+[1]táj.1!E29</f>
        <v>0</v>
      </c>
      <c r="F29" s="390">
        <f>0+[1]táj.1!F29</f>
        <v>0</v>
      </c>
      <c r="G29" s="390">
        <f>0+[1]táj.1!G29</f>
        <v>0</v>
      </c>
      <c r="H29" s="390">
        <f>3810+[1]táj.1!H29</f>
        <v>16802</v>
      </c>
      <c r="I29" s="390">
        <f>0+[1]táj.1!I29</f>
        <v>0</v>
      </c>
      <c r="J29" s="390">
        <f>0+[1]táj.1!J29</f>
        <v>0</v>
      </c>
      <c r="K29" s="390">
        <f>0+[1]táj.1!K29</f>
        <v>0</v>
      </c>
      <c r="L29" s="390">
        <f>0+[1]táj.1!L29</f>
        <v>0</v>
      </c>
      <c r="M29" s="390">
        <f>0+[1]táj.1!M29</f>
        <v>0</v>
      </c>
      <c r="N29" s="390">
        <f>0+[1]táj.1!N29</f>
        <v>0</v>
      </c>
      <c r="O29" s="390">
        <f>SUM(E29:N29)</f>
        <v>16802</v>
      </c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  <c r="IU29" s="127"/>
      <c r="IV29" s="127"/>
    </row>
    <row r="30" spans="1:256" x14ac:dyDescent="0.2">
      <c r="A30" s="129"/>
      <c r="B30" s="129"/>
      <c r="C30" s="414" t="s">
        <v>436</v>
      </c>
      <c r="D30" s="411" t="s">
        <v>437</v>
      </c>
      <c r="E30" s="390">
        <f>0+[1]táj.1!E30</f>
        <v>0</v>
      </c>
      <c r="F30" s="390">
        <f>0+[1]táj.1!F30</f>
        <v>0</v>
      </c>
      <c r="G30" s="390">
        <f>0+[1]táj.1!G30</f>
        <v>0</v>
      </c>
      <c r="H30" s="390">
        <f>2540+[1]táj.1!H30</f>
        <v>2540</v>
      </c>
      <c r="I30" s="390">
        <f>0+[1]táj.1!I30</f>
        <v>0</v>
      </c>
      <c r="J30" s="390">
        <f>0+[1]táj.1!J30</f>
        <v>0</v>
      </c>
      <c r="K30" s="390">
        <f>0+[1]táj.1!K30</f>
        <v>0</v>
      </c>
      <c r="L30" s="390">
        <f>0+[1]táj.1!L30</f>
        <v>0</v>
      </c>
      <c r="M30" s="390">
        <f>0+[1]táj.1!M30</f>
        <v>0</v>
      </c>
      <c r="N30" s="390">
        <f>0+[1]táj.1!N30</f>
        <v>0</v>
      </c>
      <c r="O30" s="390">
        <f>SUM(E30:N30)</f>
        <v>2540</v>
      </c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7"/>
      <c r="IV30" s="127"/>
    </row>
    <row r="31" spans="1:256" ht="25.5" x14ac:dyDescent="0.2">
      <c r="A31" s="129"/>
      <c r="B31" s="129"/>
      <c r="C31" s="409" t="s">
        <v>438</v>
      </c>
      <c r="D31" s="415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</row>
    <row r="32" spans="1:256" ht="25.5" x14ac:dyDescent="0.2">
      <c r="A32" s="129"/>
      <c r="B32" s="129"/>
      <c r="C32" s="406" t="s">
        <v>439</v>
      </c>
      <c r="D32" s="417">
        <v>151701</v>
      </c>
      <c r="E32" s="390">
        <f>0+[1]táj.1!E32</f>
        <v>0</v>
      </c>
      <c r="F32" s="390">
        <f>0+[1]táj.1!F32</f>
        <v>0</v>
      </c>
      <c r="G32" s="390">
        <f>0+[1]táj.1!G32</f>
        <v>0</v>
      </c>
      <c r="H32" s="390">
        <f>4318+[1]táj.1!H32</f>
        <v>4318</v>
      </c>
      <c r="I32" s="390">
        <f>0+[1]táj.1!I32</f>
        <v>0</v>
      </c>
      <c r="J32" s="390">
        <f>0+[1]táj.1!J32</f>
        <v>0</v>
      </c>
      <c r="K32" s="390">
        <f>0+[1]táj.1!K32</f>
        <v>0</v>
      </c>
      <c r="L32" s="390">
        <f>0+[1]táj.1!L32</f>
        <v>0</v>
      </c>
      <c r="M32" s="390">
        <f>0+[1]táj.1!M32</f>
        <v>0</v>
      </c>
      <c r="N32" s="390">
        <f>0+[1]táj.1!N32</f>
        <v>0</v>
      </c>
      <c r="O32" s="390">
        <f>SUM(E32:N32)</f>
        <v>4318</v>
      </c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</row>
    <row r="33" spans="1:256" ht="24" x14ac:dyDescent="0.2">
      <c r="A33" s="129"/>
      <c r="B33" s="129"/>
      <c r="C33" s="416" t="s">
        <v>440</v>
      </c>
      <c r="D33" s="417" t="s">
        <v>441</v>
      </c>
      <c r="E33" s="390">
        <f>0+[1]táj.1!E33</f>
        <v>0</v>
      </c>
      <c r="F33" s="390">
        <f>2499+[1]táj.1!F33</f>
        <v>2499</v>
      </c>
      <c r="G33" s="390">
        <f>0+[1]táj.1!G33</f>
        <v>0</v>
      </c>
      <c r="H33" s="390">
        <f>0+[1]táj.1!H33</f>
        <v>0</v>
      </c>
      <c r="I33" s="390">
        <f>0+[1]táj.1!I33</f>
        <v>0</v>
      </c>
      <c r="J33" s="390">
        <f>0+[1]táj.1!J33</f>
        <v>0</v>
      </c>
      <c r="K33" s="390">
        <f>0+[1]táj.1!K33</f>
        <v>0</v>
      </c>
      <c r="L33" s="390">
        <f>0+[1]táj.1!L33</f>
        <v>0</v>
      </c>
      <c r="M33" s="390">
        <f>0+[1]táj.1!M33</f>
        <v>0</v>
      </c>
      <c r="N33" s="390">
        <f>0+[1]táj.1!N33</f>
        <v>0</v>
      </c>
      <c r="O33" s="390">
        <f>SUM(E33:N33)</f>
        <v>2499</v>
      </c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  <c r="IU33" s="127"/>
      <c r="IV33" s="127"/>
    </row>
    <row r="34" spans="1:256" ht="25.5" x14ac:dyDescent="0.2">
      <c r="A34" s="129"/>
      <c r="B34" s="129"/>
      <c r="C34" s="406" t="s">
        <v>442</v>
      </c>
      <c r="D34" s="417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</row>
    <row r="35" spans="1:256" ht="25.5" x14ac:dyDescent="0.2">
      <c r="A35" s="129"/>
      <c r="B35" s="129"/>
      <c r="C35" s="391" t="s">
        <v>443</v>
      </c>
      <c r="D35" s="415" t="s">
        <v>444</v>
      </c>
      <c r="E35" s="390">
        <f>0+[1]táj.1!E35</f>
        <v>0</v>
      </c>
      <c r="F35" s="390">
        <f>0+[1]táj.1!F35</f>
        <v>0</v>
      </c>
      <c r="G35" s="390">
        <f>0+[1]táj.1!G35</f>
        <v>0</v>
      </c>
      <c r="H35" s="390">
        <f>312022+[1]táj.1!H35</f>
        <v>312022</v>
      </c>
      <c r="I35" s="390">
        <f>0+[1]táj.1!I35</f>
        <v>0</v>
      </c>
      <c r="J35" s="390">
        <f>0+[1]táj.1!J35</f>
        <v>0</v>
      </c>
      <c r="K35" s="390"/>
      <c r="L35" s="390">
        <f>0+[1]táj.1!L35</f>
        <v>0</v>
      </c>
      <c r="M35" s="390">
        <f>0+[1]táj.1!M35</f>
        <v>0</v>
      </c>
      <c r="N35" s="390">
        <f>0+[1]táj.1!N35</f>
        <v>0</v>
      </c>
      <c r="O35" s="390">
        <f>SUM(E35:N35)</f>
        <v>312022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ht="13.5" x14ac:dyDescent="0.2">
      <c r="A36" s="133"/>
      <c r="B36" s="133"/>
      <c r="C36" s="419" t="s">
        <v>445</v>
      </c>
      <c r="D36" s="420"/>
      <c r="E36" s="396">
        <f t="shared" ref="E36:O36" si="2">SUM(E24:E35)</f>
        <v>0</v>
      </c>
      <c r="F36" s="396">
        <f t="shared" si="2"/>
        <v>2499</v>
      </c>
      <c r="G36" s="396">
        <f t="shared" si="2"/>
        <v>0</v>
      </c>
      <c r="H36" s="396">
        <f t="shared" si="2"/>
        <v>549860</v>
      </c>
      <c r="I36" s="396">
        <f t="shared" si="2"/>
        <v>0</v>
      </c>
      <c r="J36" s="396">
        <f t="shared" si="2"/>
        <v>0</v>
      </c>
      <c r="K36" s="396">
        <f t="shared" si="2"/>
        <v>0</v>
      </c>
      <c r="L36" s="396">
        <f t="shared" si="2"/>
        <v>0</v>
      </c>
      <c r="M36" s="396">
        <f t="shared" si="2"/>
        <v>0</v>
      </c>
      <c r="N36" s="396">
        <f t="shared" si="2"/>
        <v>0</v>
      </c>
      <c r="O36" s="396">
        <f t="shared" si="2"/>
        <v>552359</v>
      </c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ht="13.5" x14ac:dyDescent="0.2">
      <c r="A37" s="129">
        <v>1</v>
      </c>
      <c r="B37" s="129" t="s">
        <v>205</v>
      </c>
      <c r="C37" s="384" t="s">
        <v>243</v>
      </c>
      <c r="D37" s="385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ht="25.5" x14ac:dyDescent="0.2">
      <c r="A38" s="129"/>
      <c r="B38" s="129"/>
      <c r="C38" s="406" t="s">
        <v>446</v>
      </c>
      <c r="D38" s="421"/>
      <c r="E38" s="422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ht="25.5" x14ac:dyDescent="0.2">
      <c r="A39" s="129"/>
      <c r="B39" s="129"/>
      <c r="C39" s="391" t="s">
        <v>56</v>
      </c>
      <c r="D39" s="423">
        <v>161909</v>
      </c>
      <c r="E39" s="418">
        <f>0+[1]táj.1!E39</f>
        <v>0</v>
      </c>
      <c r="F39" s="418">
        <f>0+[1]táj.1!F39</f>
        <v>0</v>
      </c>
      <c r="G39" s="418">
        <f>0+[1]táj.1!G39</f>
        <v>0</v>
      </c>
      <c r="H39" s="418">
        <f>34882+[1]táj.1!H39</f>
        <v>34882</v>
      </c>
      <c r="I39" s="418">
        <f>0+[1]táj.1!I39</f>
        <v>0</v>
      </c>
      <c r="J39" s="418">
        <f>0+[1]táj.1!J39</f>
        <v>0</v>
      </c>
      <c r="K39" s="418">
        <f>0+[1]táj.1!K39</f>
        <v>0</v>
      </c>
      <c r="L39" s="418">
        <f>0+[1]táj.1!L39</f>
        <v>0</v>
      </c>
      <c r="M39" s="418">
        <f>0+[1]táj.1!M39</f>
        <v>0</v>
      </c>
      <c r="N39" s="418">
        <f>0+[1]táj.1!N39</f>
        <v>0</v>
      </c>
      <c r="O39" s="390">
        <f>SUM(E39:N39)</f>
        <v>34882</v>
      </c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spans="1:256" ht="25.5" x14ac:dyDescent="0.2">
      <c r="A40" s="129"/>
      <c r="B40" s="129"/>
      <c r="C40" s="391" t="s">
        <v>1417</v>
      </c>
      <c r="D40" s="423">
        <v>164106</v>
      </c>
      <c r="E40" s="418">
        <f>0+[1]táj.1!E40</f>
        <v>0</v>
      </c>
      <c r="F40" s="418">
        <f>0+[1]táj.1!F40</f>
        <v>0</v>
      </c>
      <c r="G40" s="418">
        <f>0+[1]táj.1!G40</f>
        <v>0</v>
      </c>
      <c r="H40" s="418">
        <f>524254+[1]táj.1!H40</f>
        <v>524254</v>
      </c>
      <c r="I40" s="418">
        <f>0+[1]táj.1!I40</f>
        <v>0</v>
      </c>
      <c r="J40" s="418">
        <f>0+[1]táj.1!J40</f>
        <v>0</v>
      </c>
      <c r="K40" s="418">
        <f>0+[1]táj.1!K40</f>
        <v>0</v>
      </c>
      <c r="L40" s="418">
        <f>0+[1]táj.1!L40</f>
        <v>0</v>
      </c>
      <c r="M40" s="418">
        <f>86593+[1]táj.1!M40</f>
        <v>86593</v>
      </c>
      <c r="N40" s="418">
        <f>0+[1]táj.1!N40</f>
        <v>0</v>
      </c>
      <c r="O40" s="390">
        <f>SUM(E40:N40)</f>
        <v>610847</v>
      </c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ht="25.5" x14ac:dyDescent="0.2">
      <c r="A41" s="129"/>
      <c r="B41" s="129"/>
      <c r="C41" s="391" t="s">
        <v>1418</v>
      </c>
      <c r="D41" s="423">
        <v>164204</v>
      </c>
      <c r="E41" s="418">
        <f>0+[1]táj.1!E41</f>
        <v>0</v>
      </c>
      <c r="F41" s="418">
        <f>0+[1]táj.1!F41</f>
        <v>0</v>
      </c>
      <c r="G41" s="418">
        <f>0+[1]táj.1!G41</f>
        <v>0</v>
      </c>
      <c r="H41" s="418">
        <f>207602+[1]táj.1!H41</f>
        <v>207602</v>
      </c>
      <c r="I41" s="418">
        <f>0+[1]táj.1!I41</f>
        <v>0</v>
      </c>
      <c r="J41" s="418">
        <f>0+[1]táj.1!J41</f>
        <v>0</v>
      </c>
      <c r="K41" s="418">
        <f>0+[1]táj.1!K41</f>
        <v>0</v>
      </c>
      <c r="L41" s="418">
        <f>0+[1]táj.1!L41</f>
        <v>0</v>
      </c>
      <c r="M41" s="418">
        <f>95703+[1]táj.1!M41</f>
        <v>95703</v>
      </c>
      <c r="N41" s="418">
        <f>0+[1]táj.1!N41</f>
        <v>0</v>
      </c>
      <c r="O41" s="390">
        <f>SUM(E41:N41)</f>
        <v>303305</v>
      </c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ht="38.25" x14ac:dyDescent="0.2">
      <c r="A42" s="129"/>
      <c r="B42" s="129"/>
      <c r="C42" s="320" t="s">
        <v>447</v>
      </c>
      <c r="D42" s="423">
        <v>164205</v>
      </c>
      <c r="E42" s="418">
        <f>0+[1]táj.1!E42</f>
        <v>0</v>
      </c>
      <c r="F42" s="418">
        <f>1324735+[1]táj.1!F42</f>
        <v>1324735</v>
      </c>
      <c r="G42" s="418">
        <f>0+[1]táj.1!G42</f>
        <v>0</v>
      </c>
      <c r="H42" s="418">
        <f>527999+[1]táj.1!H42</f>
        <v>527999</v>
      </c>
      <c r="I42" s="418">
        <f>0+[1]táj.1!I42</f>
        <v>0</v>
      </c>
      <c r="J42" s="418">
        <f>0+[1]táj.1!J42</f>
        <v>0</v>
      </c>
      <c r="K42" s="418">
        <f>0+[1]táj.1!K42</f>
        <v>0</v>
      </c>
      <c r="L42" s="418">
        <f>0+[1]táj.1!L42</f>
        <v>0</v>
      </c>
      <c r="M42" s="418">
        <f>618493+[1]táj.1!M42</f>
        <v>618493</v>
      </c>
      <c r="N42" s="418">
        <f>0+[1]táj.1!N42</f>
        <v>0</v>
      </c>
      <c r="O42" s="390">
        <f>SUM(E42:N42)</f>
        <v>2471227</v>
      </c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spans="1:256" ht="38.25" x14ac:dyDescent="0.2">
      <c r="A43" s="129"/>
      <c r="B43" s="129"/>
      <c r="C43" s="320" t="s">
        <v>448</v>
      </c>
      <c r="D43" s="423">
        <v>164206</v>
      </c>
      <c r="E43" s="418">
        <f>0+[1]táj.1!E43</f>
        <v>0</v>
      </c>
      <c r="F43" s="418">
        <f>153815+[1]táj.1!F43</f>
        <v>153815</v>
      </c>
      <c r="G43" s="418">
        <f>0+[1]táj.1!G43</f>
        <v>0</v>
      </c>
      <c r="H43" s="418">
        <f>41530+[1]táj.1!H43</f>
        <v>41530</v>
      </c>
      <c r="I43" s="418">
        <f>0+[1]táj.1!I43</f>
        <v>0</v>
      </c>
      <c r="J43" s="418">
        <f>0+[1]táj.1!J43</f>
        <v>0</v>
      </c>
      <c r="K43" s="418">
        <f>0+[1]táj.1!K43</f>
        <v>0</v>
      </c>
      <c r="L43" s="418">
        <f>0+[1]táj.1!L43</f>
        <v>0</v>
      </c>
      <c r="M43" s="418">
        <f>0+[1]táj.1!M43</f>
        <v>0</v>
      </c>
      <c r="N43" s="418">
        <f>0+[1]táj.1!N43</f>
        <v>0</v>
      </c>
      <c r="O43" s="390">
        <f>SUM(E43:N43)</f>
        <v>195345</v>
      </c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  <row r="44" spans="1:256" ht="25.5" x14ac:dyDescent="0.2">
      <c r="A44" s="129"/>
      <c r="B44" s="129"/>
      <c r="C44" s="412" t="s">
        <v>449</v>
      </c>
      <c r="D44" s="424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390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</row>
    <row r="45" spans="1:256" ht="25.5" x14ac:dyDescent="0.2">
      <c r="A45" s="129"/>
      <c r="B45" s="129"/>
      <c r="C45" s="412" t="s">
        <v>450</v>
      </c>
      <c r="D45" s="636">
        <v>163700</v>
      </c>
      <c r="E45" s="418">
        <f>26873+[1]táj.1!E45</f>
        <v>26873</v>
      </c>
      <c r="F45" s="418">
        <f>0+[1]táj.1!F45</f>
        <v>0</v>
      </c>
      <c r="G45" s="418">
        <f>0+[1]táj.1!G45</f>
        <v>0</v>
      </c>
      <c r="H45" s="418">
        <f>0+[1]táj.1!H45</f>
        <v>0</v>
      </c>
      <c r="I45" s="418">
        <f>0+[1]táj.1!I45</f>
        <v>0</v>
      </c>
      <c r="J45" s="418">
        <f>0+[1]táj.1!J45</f>
        <v>0</v>
      </c>
      <c r="K45" s="418">
        <f>0+[1]táj.1!K45</f>
        <v>0</v>
      </c>
      <c r="L45" s="418">
        <f>0+[1]táj.1!L45</f>
        <v>0</v>
      </c>
      <c r="M45" s="418">
        <f>9113+[1]táj.1!M45</f>
        <v>9113</v>
      </c>
      <c r="N45" s="418">
        <f>0+[1]táj.1!N45</f>
        <v>0</v>
      </c>
      <c r="O45" s="390">
        <f>SUM(E45:N45)</f>
        <v>35986</v>
      </c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7"/>
      <c r="IH45" s="127"/>
      <c r="II45" s="127"/>
      <c r="IJ45" s="127"/>
      <c r="IK45" s="127"/>
      <c r="IL45" s="127"/>
      <c r="IM45" s="127"/>
      <c r="IN45" s="127"/>
      <c r="IO45" s="127"/>
      <c r="IP45" s="127"/>
      <c r="IQ45" s="127"/>
      <c r="IR45" s="127"/>
      <c r="IS45" s="127"/>
      <c r="IT45" s="127"/>
      <c r="IU45" s="127"/>
      <c r="IV45" s="127"/>
    </row>
    <row r="46" spans="1:256" ht="25.5" x14ac:dyDescent="0.2">
      <c r="A46" s="129"/>
      <c r="B46" s="129"/>
      <c r="C46" s="406" t="s">
        <v>451</v>
      </c>
      <c r="D46" s="637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390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  <c r="GG46" s="127"/>
      <c r="GH46" s="127"/>
      <c r="GI46" s="127"/>
      <c r="GJ46" s="127"/>
      <c r="GK46" s="127"/>
      <c r="GL46" s="127"/>
      <c r="GM46" s="127"/>
      <c r="GN46" s="127"/>
      <c r="GO46" s="127"/>
      <c r="GP46" s="127"/>
      <c r="GQ46" s="127"/>
      <c r="GR46" s="127"/>
      <c r="GS46" s="127"/>
      <c r="GT46" s="127"/>
      <c r="GU46" s="127"/>
      <c r="GV46" s="127"/>
      <c r="GW46" s="127"/>
      <c r="GX46" s="127"/>
      <c r="GY46" s="127"/>
      <c r="GZ46" s="127"/>
      <c r="HA46" s="127"/>
      <c r="HB46" s="127"/>
      <c r="HC46" s="127"/>
      <c r="HD46" s="127"/>
      <c r="HE46" s="127"/>
      <c r="HF46" s="127"/>
      <c r="HG46" s="127"/>
      <c r="HH46" s="127"/>
      <c r="HI46" s="127"/>
      <c r="HJ46" s="127"/>
      <c r="HK46" s="127"/>
      <c r="HL46" s="127"/>
      <c r="HM46" s="127"/>
      <c r="HN46" s="127"/>
      <c r="HO46" s="127"/>
      <c r="HP46" s="127"/>
      <c r="HQ46" s="127"/>
      <c r="HR46" s="127"/>
      <c r="HS46" s="127"/>
      <c r="HT46" s="127"/>
      <c r="HU46" s="127"/>
      <c r="HV46" s="127"/>
      <c r="HW46" s="127"/>
      <c r="HX46" s="127"/>
      <c r="HY46" s="127"/>
      <c r="HZ46" s="127"/>
      <c r="IA46" s="127"/>
      <c r="IB46" s="127"/>
      <c r="IC46" s="127"/>
      <c r="ID46" s="127"/>
      <c r="IE46" s="127"/>
      <c r="IF46" s="127"/>
      <c r="IG46" s="127"/>
      <c r="IH46" s="127"/>
      <c r="II46" s="127"/>
      <c r="IJ46" s="127"/>
      <c r="IK46" s="127"/>
      <c r="IL46" s="127"/>
      <c r="IM46" s="127"/>
      <c r="IN46" s="127"/>
      <c r="IO46" s="127"/>
      <c r="IP46" s="127"/>
      <c r="IQ46" s="127"/>
      <c r="IR46" s="127"/>
      <c r="IS46" s="127"/>
      <c r="IT46" s="127"/>
      <c r="IU46" s="127"/>
      <c r="IV46" s="127"/>
    </row>
    <row r="47" spans="1:256" ht="25.5" x14ac:dyDescent="0.2">
      <c r="A47" s="129"/>
      <c r="B47" s="129"/>
      <c r="C47" s="412" t="s">
        <v>452</v>
      </c>
      <c r="D47" s="636">
        <v>162695</v>
      </c>
      <c r="E47" s="418">
        <f>5193+[1]táj.1!E47</f>
        <v>5193</v>
      </c>
      <c r="F47" s="418">
        <f>0+[1]táj.1!F47</f>
        <v>0</v>
      </c>
      <c r="G47" s="418">
        <f>0+[1]táj.1!G47</f>
        <v>0</v>
      </c>
      <c r="H47" s="418">
        <f>0+[1]táj.1!H47</f>
        <v>0</v>
      </c>
      <c r="I47" s="418">
        <f>0+[1]táj.1!I47</f>
        <v>0</v>
      </c>
      <c r="J47" s="418">
        <f>0+[1]táj.1!J47</f>
        <v>0</v>
      </c>
      <c r="K47" s="418">
        <f>0+[1]táj.1!K47</f>
        <v>0</v>
      </c>
      <c r="L47" s="418">
        <f>0+[1]táj.1!L47</f>
        <v>0</v>
      </c>
      <c r="M47" s="418">
        <f>0+[1]táj.1!M47</f>
        <v>0</v>
      </c>
      <c r="N47" s="418">
        <f>0+[1]táj.1!N47</f>
        <v>0</v>
      </c>
      <c r="O47" s="390">
        <f t="shared" ref="O47:O88" si="3">SUM(E47:N47)</f>
        <v>5193</v>
      </c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  <c r="HQ47" s="127"/>
      <c r="HR47" s="127"/>
      <c r="HS47" s="127"/>
      <c r="HT47" s="127"/>
      <c r="HU47" s="127"/>
      <c r="HV47" s="127"/>
      <c r="HW47" s="127"/>
      <c r="HX47" s="127"/>
      <c r="HY47" s="127"/>
      <c r="HZ47" s="127"/>
      <c r="IA47" s="127"/>
      <c r="IB47" s="127"/>
      <c r="IC47" s="127"/>
      <c r="ID47" s="127"/>
      <c r="IE47" s="127"/>
      <c r="IF47" s="127"/>
      <c r="IG47" s="127"/>
      <c r="IH47" s="127"/>
      <c r="II47" s="127"/>
      <c r="IJ47" s="127"/>
      <c r="IK47" s="127"/>
      <c r="IL47" s="127"/>
      <c r="IM47" s="127"/>
      <c r="IN47" s="127"/>
      <c r="IO47" s="127"/>
      <c r="IP47" s="127"/>
      <c r="IQ47" s="127"/>
      <c r="IR47" s="127"/>
      <c r="IS47" s="127"/>
      <c r="IT47" s="127"/>
      <c r="IU47" s="127"/>
      <c r="IV47" s="127"/>
    </row>
    <row r="48" spans="1:256" x14ac:dyDescent="0.2">
      <c r="A48" s="129"/>
      <c r="B48" s="129"/>
      <c r="C48" s="712" t="s">
        <v>453</v>
      </c>
      <c r="D48" s="636">
        <v>162607</v>
      </c>
      <c r="E48" s="418">
        <f>0+[1]táj.1!E48</f>
        <v>0</v>
      </c>
      <c r="F48" s="418">
        <f>0+[1]táj.1!F48</f>
        <v>0</v>
      </c>
      <c r="G48" s="418">
        <f>0+[1]táj.1!G48</f>
        <v>0</v>
      </c>
      <c r="H48" s="418">
        <f>0+[1]táj.1!H48</f>
        <v>0</v>
      </c>
      <c r="I48" s="418">
        <f>0+[1]táj.1!I48</f>
        <v>0</v>
      </c>
      <c r="J48" s="418">
        <f>0+[1]táj.1!J48</f>
        <v>0</v>
      </c>
      <c r="K48" s="418">
        <f>0+[1]táj.1!K48</f>
        <v>0</v>
      </c>
      <c r="L48" s="418">
        <f>0+[1]táj.1!L48</f>
        <v>0</v>
      </c>
      <c r="M48" s="418">
        <f>5334+[1]táj.1!M48</f>
        <v>5334</v>
      </c>
      <c r="N48" s="418">
        <f>0+[1]táj.1!N48</f>
        <v>0</v>
      </c>
      <c r="O48" s="390">
        <f t="shared" si="3"/>
        <v>5334</v>
      </c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  <c r="HT48" s="127"/>
      <c r="HU48" s="127"/>
      <c r="HV48" s="127"/>
      <c r="HW48" s="127"/>
      <c r="HX48" s="127"/>
      <c r="HY48" s="127"/>
      <c r="HZ48" s="127"/>
      <c r="IA48" s="127"/>
      <c r="IB48" s="127"/>
      <c r="IC48" s="127"/>
      <c r="ID48" s="127"/>
      <c r="IE48" s="127"/>
      <c r="IF48" s="127"/>
      <c r="IG48" s="127"/>
      <c r="IH48" s="127"/>
      <c r="II48" s="127"/>
      <c r="IJ48" s="127"/>
      <c r="IK48" s="127"/>
      <c r="IL48" s="127"/>
      <c r="IM48" s="127"/>
      <c r="IN48" s="127"/>
      <c r="IO48" s="127"/>
      <c r="IP48" s="127"/>
      <c r="IQ48" s="127"/>
      <c r="IR48" s="127"/>
      <c r="IS48" s="127"/>
      <c r="IT48" s="127"/>
      <c r="IU48" s="127"/>
      <c r="IV48" s="127"/>
    </row>
    <row r="49" spans="1:256" ht="25.5" x14ac:dyDescent="0.2">
      <c r="A49" s="129"/>
      <c r="B49" s="129"/>
      <c r="C49" s="412" t="s">
        <v>454</v>
      </c>
      <c r="D49" s="636">
        <v>162640</v>
      </c>
      <c r="E49" s="418">
        <f>0+[1]táj.1!E49</f>
        <v>0</v>
      </c>
      <c r="F49" s="418">
        <f>0+[1]táj.1!F49</f>
        <v>0</v>
      </c>
      <c r="G49" s="418">
        <f>0+[1]táj.1!G49</f>
        <v>0</v>
      </c>
      <c r="H49" s="418">
        <f>0+[1]táj.1!H49</f>
        <v>0</v>
      </c>
      <c r="I49" s="418">
        <f>0+[1]táj.1!I49</f>
        <v>0</v>
      </c>
      <c r="J49" s="418">
        <f>0+[1]táj.1!J49</f>
        <v>0</v>
      </c>
      <c r="K49" s="418">
        <f>0+[1]táj.1!K49</f>
        <v>0</v>
      </c>
      <c r="L49" s="418">
        <f>0+[1]táj.1!L49</f>
        <v>0</v>
      </c>
      <c r="M49" s="418">
        <f>183429+[1]táj.1!M49</f>
        <v>183429</v>
      </c>
      <c r="N49" s="418">
        <f>0+[1]táj.1!N49</f>
        <v>0</v>
      </c>
      <c r="O49" s="390">
        <f t="shared" si="3"/>
        <v>183429</v>
      </c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  <c r="HQ49" s="127"/>
      <c r="HR49" s="127"/>
      <c r="HS49" s="127"/>
      <c r="HT49" s="127"/>
      <c r="HU49" s="127"/>
      <c r="HV49" s="127"/>
      <c r="HW49" s="127"/>
      <c r="HX49" s="127"/>
      <c r="HY49" s="127"/>
      <c r="HZ49" s="127"/>
      <c r="IA49" s="127"/>
      <c r="IB49" s="127"/>
      <c r="IC49" s="127"/>
      <c r="ID49" s="127"/>
      <c r="IE49" s="127"/>
      <c r="IF49" s="127"/>
      <c r="IG49" s="127"/>
      <c r="IH49" s="127"/>
      <c r="II49" s="127"/>
      <c r="IJ49" s="127"/>
      <c r="IK49" s="127"/>
      <c r="IL49" s="127"/>
      <c r="IM49" s="127"/>
      <c r="IN49" s="127"/>
      <c r="IO49" s="127"/>
      <c r="IP49" s="127"/>
      <c r="IQ49" s="127"/>
      <c r="IR49" s="127"/>
      <c r="IS49" s="127"/>
      <c r="IT49" s="127"/>
      <c r="IU49" s="127"/>
      <c r="IV49" s="127"/>
    </row>
    <row r="50" spans="1:256" ht="38.25" x14ac:dyDescent="0.2">
      <c r="A50" s="129"/>
      <c r="B50" s="129"/>
      <c r="C50" s="425" t="s">
        <v>455</v>
      </c>
      <c r="D50" s="636">
        <v>163636</v>
      </c>
      <c r="E50" s="418">
        <f>0+[1]táj.1!E50</f>
        <v>0</v>
      </c>
      <c r="F50" s="418">
        <f>492+[1]táj.1!F50</f>
        <v>492</v>
      </c>
      <c r="G50" s="418">
        <f>0+[1]táj.1!G50</f>
        <v>0</v>
      </c>
      <c r="H50" s="418">
        <f>0+[1]táj.1!H50</f>
        <v>0</v>
      </c>
      <c r="I50" s="418">
        <f>0+[1]táj.1!I50</f>
        <v>0</v>
      </c>
      <c r="J50" s="418">
        <f>0+[1]táj.1!J50</f>
        <v>0</v>
      </c>
      <c r="K50" s="418">
        <f>0+[1]táj.1!K50</f>
        <v>0</v>
      </c>
      <c r="L50" s="418">
        <f>31188+[1]táj.1!L50</f>
        <v>31188</v>
      </c>
      <c r="M50" s="418">
        <f>93720+[1]táj.1!M50</f>
        <v>93720</v>
      </c>
      <c r="N50" s="418">
        <f>0+[1]táj.1!N50</f>
        <v>0</v>
      </c>
      <c r="O50" s="390">
        <f t="shared" si="3"/>
        <v>125400</v>
      </c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  <c r="HT50" s="127"/>
      <c r="HU50" s="127"/>
      <c r="HV50" s="127"/>
      <c r="HW50" s="127"/>
      <c r="HX50" s="127"/>
      <c r="HY50" s="127"/>
      <c r="HZ50" s="127"/>
      <c r="IA50" s="127"/>
      <c r="IB50" s="127"/>
      <c r="IC50" s="127"/>
      <c r="ID50" s="127"/>
      <c r="IE50" s="127"/>
      <c r="IF50" s="127"/>
      <c r="IG50" s="127"/>
      <c r="IH50" s="127"/>
      <c r="II50" s="127"/>
      <c r="IJ50" s="127"/>
      <c r="IK50" s="127"/>
      <c r="IL50" s="127"/>
      <c r="IM50" s="127"/>
      <c r="IN50" s="127"/>
      <c r="IO50" s="127"/>
      <c r="IP50" s="127"/>
      <c r="IQ50" s="127"/>
      <c r="IR50" s="127"/>
      <c r="IS50" s="127"/>
      <c r="IT50" s="127"/>
      <c r="IU50" s="127"/>
      <c r="IV50" s="127"/>
    </row>
    <row r="51" spans="1:256" ht="25.5" x14ac:dyDescent="0.2">
      <c r="A51" s="129"/>
      <c r="B51" s="129"/>
      <c r="C51" s="713" t="s">
        <v>456</v>
      </c>
      <c r="D51" s="347">
        <v>163601</v>
      </c>
      <c r="E51" s="418">
        <f>0+[1]táj.1!E51</f>
        <v>0</v>
      </c>
      <c r="F51" s="418">
        <f>0+[1]táj.1!F51</f>
        <v>0</v>
      </c>
      <c r="G51" s="418">
        <f>0+[1]táj.1!G51</f>
        <v>0</v>
      </c>
      <c r="H51" s="418">
        <f>0+[1]táj.1!H51</f>
        <v>0</v>
      </c>
      <c r="I51" s="418">
        <f>0+[1]táj.1!I51</f>
        <v>0</v>
      </c>
      <c r="J51" s="418">
        <f>0+[1]táj.1!J51</f>
        <v>0</v>
      </c>
      <c r="K51" s="418">
        <f>0+[1]táj.1!K51</f>
        <v>0</v>
      </c>
      <c r="L51" s="418">
        <f>0+[1]táj.1!L51</f>
        <v>0</v>
      </c>
      <c r="M51" s="418">
        <f>2597+[1]táj.1!M51</f>
        <v>2597</v>
      </c>
      <c r="N51" s="418">
        <f>0+[1]táj.1!N51</f>
        <v>0</v>
      </c>
      <c r="O51" s="390">
        <f t="shared" si="3"/>
        <v>2597</v>
      </c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  <c r="HQ51" s="127"/>
      <c r="HR51" s="127"/>
      <c r="HS51" s="127"/>
      <c r="HT51" s="127"/>
      <c r="HU51" s="127"/>
      <c r="HV51" s="127"/>
      <c r="HW51" s="127"/>
      <c r="HX51" s="127"/>
      <c r="HY51" s="127"/>
      <c r="HZ51" s="127"/>
      <c r="IA51" s="127"/>
      <c r="IB51" s="127"/>
      <c r="IC51" s="127"/>
      <c r="ID51" s="127"/>
      <c r="IE51" s="127"/>
      <c r="IF51" s="127"/>
      <c r="IG51" s="127"/>
      <c r="IH51" s="127"/>
      <c r="II51" s="127"/>
      <c r="IJ51" s="127"/>
      <c r="IK51" s="127"/>
      <c r="IL51" s="127"/>
      <c r="IM51" s="127"/>
      <c r="IN51" s="127"/>
      <c r="IO51" s="127"/>
      <c r="IP51" s="127"/>
      <c r="IQ51" s="127"/>
      <c r="IR51" s="127"/>
      <c r="IS51" s="127"/>
      <c r="IT51" s="127"/>
      <c r="IU51" s="127"/>
      <c r="IV51" s="127"/>
    </row>
    <row r="52" spans="1:256" ht="38.25" x14ac:dyDescent="0.2">
      <c r="A52" s="129"/>
      <c r="B52" s="129"/>
      <c r="C52" s="713" t="s">
        <v>457</v>
      </c>
      <c r="D52" s="347">
        <v>163603</v>
      </c>
      <c r="E52" s="418">
        <f>0+[1]táj.1!E52</f>
        <v>0</v>
      </c>
      <c r="F52" s="418">
        <f>0+[1]táj.1!F52</f>
        <v>0</v>
      </c>
      <c r="G52" s="418">
        <f>0+[1]táj.1!G52</f>
        <v>0</v>
      </c>
      <c r="H52" s="418">
        <f>0+[1]táj.1!H52</f>
        <v>0</v>
      </c>
      <c r="I52" s="418">
        <f>0+[1]táj.1!I52</f>
        <v>0</v>
      </c>
      <c r="J52" s="418">
        <f>0+[1]táj.1!J52</f>
        <v>0</v>
      </c>
      <c r="K52" s="418">
        <f>0+[1]táj.1!K52</f>
        <v>0</v>
      </c>
      <c r="L52" s="418">
        <f>0+[1]táj.1!L52</f>
        <v>0</v>
      </c>
      <c r="M52" s="418">
        <f>10113+[1]táj.1!M52</f>
        <v>10113</v>
      </c>
      <c r="N52" s="418">
        <f>0+[1]táj.1!N52</f>
        <v>0</v>
      </c>
      <c r="O52" s="390">
        <f t="shared" si="3"/>
        <v>10113</v>
      </c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/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  <c r="HQ52" s="127"/>
      <c r="HR52" s="127"/>
      <c r="HS52" s="127"/>
      <c r="HT52" s="127"/>
      <c r="HU52" s="127"/>
      <c r="HV52" s="127"/>
      <c r="HW52" s="127"/>
      <c r="HX52" s="127"/>
      <c r="HY52" s="127"/>
      <c r="HZ52" s="127"/>
      <c r="IA52" s="127"/>
      <c r="IB52" s="127"/>
      <c r="IC52" s="127"/>
      <c r="ID52" s="127"/>
      <c r="IE52" s="127"/>
      <c r="IF52" s="127"/>
      <c r="IG52" s="127"/>
      <c r="IH52" s="127"/>
      <c r="II52" s="127"/>
      <c r="IJ52" s="127"/>
      <c r="IK52" s="127"/>
      <c r="IL52" s="127"/>
      <c r="IM52" s="127"/>
      <c r="IN52" s="127"/>
      <c r="IO52" s="127"/>
      <c r="IP52" s="127"/>
      <c r="IQ52" s="127"/>
      <c r="IR52" s="127"/>
      <c r="IS52" s="127"/>
      <c r="IT52" s="127"/>
      <c r="IU52" s="127"/>
      <c r="IV52" s="127"/>
    </row>
    <row r="53" spans="1:256" ht="38.25" x14ac:dyDescent="0.2">
      <c r="A53" s="129"/>
      <c r="B53" s="129"/>
      <c r="C53" s="714" t="s">
        <v>458</v>
      </c>
      <c r="D53" s="347">
        <v>163604</v>
      </c>
      <c r="E53" s="418">
        <f>0+[1]táj.1!E53</f>
        <v>0</v>
      </c>
      <c r="F53" s="418">
        <f>0+[1]táj.1!F53</f>
        <v>0</v>
      </c>
      <c r="G53" s="418">
        <f>0+[1]táj.1!G53</f>
        <v>0</v>
      </c>
      <c r="H53" s="418">
        <f>0+[1]táj.1!H53</f>
        <v>0</v>
      </c>
      <c r="I53" s="418">
        <f>0+[1]táj.1!I53</f>
        <v>0</v>
      </c>
      <c r="J53" s="418">
        <f>0+[1]táj.1!J53</f>
        <v>0</v>
      </c>
      <c r="K53" s="418">
        <f>0+[1]táj.1!K53</f>
        <v>0</v>
      </c>
      <c r="L53" s="418">
        <f>0+[1]táj.1!L53</f>
        <v>0</v>
      </c>
      <c r="M53" s="418">
        <f>4106+[1]táj.1!M53</f>
        <v>4106</v>
      </c>
      <c r="N53" s="418">
        <f>0+[1]táj.1!N53</f>
        <v>0</v>
      </c>
      <c r="O53" s="390">
        <f t="shared" si="3"/>
        <v>4106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  <c r="HQ53" s="127"/>
      <c r="HR53" s="127"/>
      <c r="HS53" s="127"/>
      <c r="HT53" s="127"/>
      <c r="HU53" s="127"/>
      <c r="HV53" s="127"/>
      <c r="HW53" s="127"/>
      <c r="HX53" s="127"/>
      <c r="HY53" s="127"/>
      <c r="HZ53" s="127"/>
      <c r="IA53" s="127"/>
      <c r="IB53" s="127"/>
      <c r="IC53" s="127"/>
      <c r="ID53" s="127"/>
      <c r="IE53" s="127"/>
      <c r="IF53" s="127"/>
      <c r="IG53" s="127"/>
      <c r="IH53" s="127"/>
      <c r="II53" s="127"/>
      <c r="IJ53" s="127"/>
      <c r="IK53" s="127"/>
      <c r="IL53" s="127"/>
      <c r="IM53" s="127"/>
      <c r="IN53" s="127"/>
      <c r="IO53" s="127"/>
      <c r="IP53" s="127"/>
      <c r="IQ53" s="127"/>
      <c r="IR53" s="127"/>
      <c r="IS53" s="127"/>
      <c r="IT53" s="127"/>
      <c r="IU53" s="127"/>
      <c r="IV53" s="127"/>
    </row>
    <row r="54" spans="1:256" ht="38.25" x14ac:dyDescent="0.2">
      <c r="A54" s="129"/>
      <c r="B54" s="129"/>
      <c r="C54" s="714" t="s">
        <v>459</v>
      </c>
      <c r="D54" s="347">
        <v>163606</v>
      </c>
      <c r="E54" s="418">
        <f>0+[1]táj.1!E54</f>
        <v>0</v>
      </c>
      <c r="F54" s="418">
        <f>0+[1]táj.1!F54</f>
        <v>0</v>
      </c>
      <c r="G54" s="418">
        <f>0+[1]táj.1!G54</f>
        <v>0</v>
      </c>
      <c r="H54" s="418">
        <f>0+[1]táj.1!H54</f>
        <v>0</v>
      </c>
      <c r="I54" s="418">
        <f>0+[1]táj.1!I54</f>
        <v>0</v>
      </c>
      <c r="J54" s="418">
        <f>0+[1]táj.1!J54</f>
        <v>0</v>
      </c>
      <c r="K54" s="418">
        <f>0+[1]táj.1!K54</f>
        <v>0</v>
      </c>
      <c r="L54" s="418">
        <f>0+[1]táj.1!L54</f>
        <v>0</v>
      </c>
      <c r="M54" s="418">
        <f>146134+[1]táj.1!M54</f>
        <v>146134</v>
      </c>
      <c r="N54" s="418">
        <f>0+[1]táj.1!N54</f>
        <v>0</v>
      </c>
      <c r="O54" s="390">
        <f t="shared" si="3"/>
        <v>146134</v>
      </c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  <c r="HT54" s="127"/>
      <c r="HU54" s="127"/>
      <c r="HV54" s="127"/>
      <c r="HW54" s="127"/>
      <c r="HX54" s="127"/>
      <c r="HY54" s="127"/>
      <c r="HZ54" s="127"/>
      <c r="IA54" s="127"/>
      <c r="IB54" s="127"/>
      <c r="IC54" s="127"/>
      <c r="ID54" s="127"/>
      <c r="IE54" s="127"/>
      <c r="IF54" s="127"/>
      <c r="IG54" s="127"/>
      <c r="IH54" s="127"/>
      <c r="II54" s="127"/>
      <c r="IJ54" s="127"/>
      <c r="IK54" s="127"/>
      <c r="IL54" s="127"/>
      <c r="IM54" s="127"/>
      <c r="IN54" s="127"/>
      <c r="IO54" s="127"/>
      <c r="IP54" s="127"/>
      <c r="IQ54" s="127"/>
      <c r="IR54" s="127"/>
      <c r="IS54" s="127"/>
      <c r="IT54" s="127"/>
      <c r="IU54" s="127"/>
      <c r="IV54" s="127"/>
    </row>
    <row r="55" spans="1:256" ht="76.5" x14ac:dyDescent="0.2">
      <c r="A55" s="129"/>
      <c r="B55" s="129"/>
      <c r="C55" s="713" t="s">
        <v>460</v>
      </c>
      <c r="D55" s="347">
        <v>163607</v>
      </c>
      <c r="E55" s="418">
        <f>0+[1]táj.1!E55</f>
        <v>0</v>
      </c>
      <c r="F55" s="418">
        <f>0+[1]táj.1!F55</f>
        <v>0</v>
      </c>
      <c r="G55" s="418">
        <f>0+[1]táj.1!G55</f>
        <v>0</v>
      </c>
      <c r="H55" s="418">
        <f>0+[1]táj.1!H55</f>
        <v>0</v>
      </c>
      <c r="I55" s="418">
        <f>0+[1]táj.1!I55</f>
        <v>0</v>
      </c>
      <c r="J55" s="418">
        <f>0+[1]táj.1!J55</f>
        <v>0</v>
      </c>
      <c r="K55" s="418">
        <f>0+[1]táj.1!K55</f>
        <v>0</v>
      </c>
      <c r="L55" s="418">
        <f>0+[1]táj.1!L55</f>
        <v>0</v>
      </c>
      <c r="M55" s="418">
        <f>948842+[1]táj.1!M55</f>
        <v>948842</v>
      </c>
      <c r="N55" s="418">
        <f>0+[1]táj.1!N55</f>
        <v>0</v>
      </c>
      <c r="O55" s="390">
        <f t="shared" si="3"/>
        <v>948842</v>
      </c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  <c r="HT55" s="127"/>
      <c r="HU55" s="127"/>
      <c r="HV55" s="127"/>
      <c r="HW55" s="127"/>
      <c r="HX55" s="127"/>
      <c r="HY55" s="127"/>
      <c r="HZ55" s="127"/>
      <c r="IA55" s="127"/>
      <c r="IB55" s="127"/>
      <c r="IC55" s="127"/>
      <c r="ID55" s="127"/>
      <c r="IE55" s="127"/>
      <c r="IF55" s="127"/>
      <c r="IG55" s="127"/>
      <c r="IH55" s="127"/>
      <c r="II55" s="127"/>
      <c r="IJ55" s="127"/>
      <c r="IK55" s="127"/>
      <c r="IL55" s="127"/>
      <c r="IM55" s="127"/>
      <c r="IN55" s="127"/>
      <c r="IO55" s="127"/>
      <c r="IP55" s="127"/>
      <c r="IQ55" s="127"/>
      <c r="IR55" s="127"/>
      <c r="IS55" s="127"/>
      <c r="IT55" s="127"/>
      <c r="IU55" s="127"/>
      <c r="IV55" s="127"/>
    </row>
    <row r="56" spans="1:256" ht="38.25" x14ac:dyDescent="0.2">
      <c r="A56" s="129"/>
      <c r="B56" s="129"/>
      <c r="C56" s="713" t="s">
        <v>461</v>
      </c>
      <c r="D56" s="347">
        <v>163608</v>
      </c>
      <c r="E56" s="418">
        <f>0+[1]táj.1!E56</f>
        <v>0</v>
      </c>
      <c r="F56" s="418">
        <f>0+[1]táj.1!F56</f>
        <v>0</v>
      </c>
      <c r="G56" s="418">
        <f>0+[1]táj.1!G56</f>
        <v>0</v>
      </c>
      <c r="H56" s="418">
        <f>0+[1]táj.1!H56</f>
        <v>0</v>
      </c>
      <c r="I56" s="418">
        <f>0+[1]táj.1!I56</f>
        <v>0</v>
      </c>
      <c r="J56" s="418">
        <f>0+[1]táj.1!J56</f>
        <v>0</v>
      </c>
      <c r="K56" s="418">
        <f>0+[1]táj.1!K56</f>
        <v>0</v>
      </c>
      <c r="L56" s="418">
        <f>0+[1]táj.1!L56</f>
        <v>0</v>
      </c>
      <c r="M56" s="418">
        <f>488326+[1]táj.1!M56</f>
        <v>488326</v>
      </c>
      <c r="N56" s="418">
        <f>0+[1]táj.1!N56</f>
        <v>0</v>
      </c>
      <c r="O56" s="390">
        <f t="shared" si="3"/>
        <v>488326</v>
      </c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  <c r="HT56" s="127"/>
      <c r="HU56" s="127"/>
      <c r="HV56" s="127"/>
      <c r="HW56" s="127"/>
      <c r="HX56" s="127"/>
      <c r="HY56" s="127"/>
      <c r="HZ56" s="127"/>
      <c r="IA56" s="127"/>
      <c r="IB56" s="127"/>
      <c r="IC56" s="127"/>
      <c r="ID56" s="127"/>
      <c r="IE56" s="127"/>
      <c r="IF56" s="127"/>
      <c r="IG56" s="127"/>
      <c r="IH56" s="127"/>
      <c r="II56" s="127"/>
      <c r="IJ56" s="127"/>
      <c r="IK56" s="127"/>
      <c r="IL56" s="127"/>
      <c r="IM56" s="127"/>
      <c r="IN56" s="127"/>
      <c r="IO56" s="127"/>
      <c r="IP56" s="127"/>
      <c r="IQ56" s="127"/>
      <c r="IR56" s="127"/>
      <c r="IS56" s="127"/>
      <c r="IT56" s="127"/>
      <c r="IU56" s="127"/>
      <c r="IV56" s="127"/>
    </row>
    <row r="57" spans="1:256" ht="38.25" x14ac:dyDescent="0.2">
      <c r="A57" s="129"/>
      <c r="B57" s="129"/>
      <c r="C57" s="713" t="s">
        <v>462</v>
      </c>
      <c r="D57" s="347">
        <v>163609</v>
      </c>
      <c r="E57" s="418">
        <f>0+[1]táj.1!E57</f>
        <v>0</v>
      </c>
      <c r="F57" s="418">
        <f>0+[1]táj.1!F57</f>
        <v>0</v>
      </c>
      <c r="G57" s="418">
        <f>0+[1]táj.1!G57</f>
        <v>0</v>
      </c>
      <c r="H57" s="418">
        <f>0+[1]táj.1!H57</f>
        <v>0</v>
      </c>
      <c r="I57" s="418">
        <f>0+[1]táj.1!I57</f>
        <v>0</v>
      </c>
      <c r="J57" s="418">
        <f>0+[1]táj.1!J57</f>
        <v>0</v>
      </c>
      <c r="K57" s="418">
        <f>0+[1]táj.1!K57</f>
        <v>0</v>
      </c>
      <c r="L57" s="418">
        <f>0+[1]táj.1!L57</f>
        <v>0</v>
      </c>
      <c r="M57" s="418">
        <f>390916+[1]táj.1!M57</f>
        <v>390916</v>
      </c>
      <c r="N57" s="418">
        <f>0+[1]táj.1!N57</f>
        <v>0</v>
      </c>
      <c r="O57" s="390">
        <f t="shared" si="3"/>
        <v>390916</v>
      </c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  <c r="HT57" s="127"/>
      <c r="HU57" s="127"/>
      <c r="HV57" s="127"/>
      <c r="HW57" s="127"/>
      <c r="HX57" s="127"/>
      <c r="HY57" s="127"/>
      <c r="HZ57" s="127"/>
      <c r="IA57" s="127"/>
      <c r="IB57" s="127"/>
      <c r="IC57" s="127"/>
      <c r="ID57" s="127"/>
      <c r="IE57" s="127"/>
      <c r="IF57" s="127"/>
      <c r="IG57" s="127"/>
      <c r="IH57" s="127"/>
      <c r="II57" s="127"/>
      <c r="IJ57" s="127"/>
      <c r="IK57" s="127"/>
      <c r="IL57" s="127"/>
      <c r="IM57" s="127"/>
      <c r="IN57" s="127"/>
      <c r="IO57" s="127"/>
      <c r="IP57" s="127"/>
      <c r="IQ57" s="127"/>
      <c r="IR57" s="127"/>
      <c r="IS57" s="127"/>
      <c r="IT57" s="127"/>
      <c r="IU57" s="127"/>
      <c r="IV57" s="127"/>
    </row>
    <row r="58" spans="1:256" ht="51" x14ac:dyDescent="0.2">
      <c r="A58" s="129"/>
      <c r="B58" s="129"/>
      <c r="C58" s="715" t="s">
        <v>463</v>
      </c>
      <c r="D58" s="347">
        <v>163611</v>
      </c>
      <c r="E58" s="418">
        <f>0+[1]táj.1!E58</f>
        <v>0</v>
      </c>
      <c r="F58" s="418">
        <f>0+[1]táj.1!F58</f>
        <v>0</v>
      </c>
      <c r="G58" s="418">
        <f>0+[1]táj.1!G58</f>
        <v>0</v>
      </c>
      <c r="H58" s="418">
        <f>0+[1]táj.1!H58</f>
        <v>0</v>
      </c>
      <c r="I58" s="418">
        <f>0+[1]táj.1!I58</f>
        <v>0</v>
      </c>
      <c r="J58" s="418">
        <f>0+[1]táj.1!J58</f>
        <v>0</v>
      </c>
      <c r="K58" s="418">
        <f>0+[1]táj.1!K58</f>
        <v>0</v>
      </c>
      <c r="L58" s="418">
        <f>0+[1]táj.1!L58</f>
        <v>0</v>
      </c>
      <c r="M58" s="418">
        <f>365340+[1]táj.1!M58</f>
        <v>365340</v>
      </c>
      <c r="N58" s="418">
        <f>0+[1]táj.1!N58</f>
        <v>0</v>
      </c>
      <c r="O58" s="390">
        <f t="shared" si="3"/>
        <v>365340</v>
      </c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  <c r="HQ58" s="127"/>
      <c r="HR58" s="127"/>
      <c r="HS58" s="127"/>
      <c r="HT58" s="127"/>
      <c r="HU58" s="127"/>
      <c r="HV58" s="127"/>
      <c r="HW58" s="127"/>
      <c r="HX58" s="127"/>
      <c r="HY58" s="127"/>
      <c r="HZ58" s="127"/>
      <c r="IA58" s="127"/>
      <c r="IB58" s="127"/>
      <c r="IC58" s="127"/>
      <c r="ID58" s="127"/>
      <c r="IE58" s="127"/>
      <c r="IF58" s="127"/>
      <c r="IG58" s="127"/>
      <c r="IH58" s="127"/>
      <c r="II58" s="127"/>
      <c r="IJ58" s="127"/>
      <c r="IK58" s="127"/>
      <c r="IL58" s="127"/>
      <c r="IM58" s="127"/>
      <c r="IN58" s="127"/>
      <c r="IO58" s="127"/>
      <c r="IP58" s="127"/>
      <c r="IQ58" s="127"/>
      <c r="IR58" s="127"/>
      <c r="IS58" s="127"/>
      <c r="IT58" s="127"/>
      <c r="IU58" s="127"/>
      <c r="IV58" s="127"/>
    </row>
    <row r="59" spans="1:256" ht="38.25" x14ac:dyDescent="0.2">
      <c r="A59" s="129"/>
      <c r="B59" s="129"/>
      <c r="C59" s="716" t="s">
        <v>464</v>
      </c>
      <c r="D59" s="347">
        <v>163612</v>
      </c>
      <c r="E59" s="418">
        <f>0+[1]táj.1!E59</f>
        <v>0</v>
      </c>
      <c r="F59" s="418">
        <f>0+[1]táj.1!F59</f>
        <v>0</v>
      </c>
      <c r="G59" s="418">
        <f>0+[1]táj.1!G59</f>
        <v>0</v>
      </c>
      <c r="H59" s="418">
        <f>45800+[1]táj.1!H59</f>
        <v>45800</v>
      </c>
      <c r="I59" s="418">
        <f>0+[1]táj.1!I59</f>
        <v>0</v>
      </c>
      <c r="J59" s="418">
        <f>0+[1]táj.1!J59</f>
        <v>0</v>
      </c>
      <c r="K59" s="418">
        <f>0+[1]táj.1!K59</f>
        <v>0</v>
      </c>
      <c r="L59" s="418">
        <f>0+[1]táj.1!L59</f>
        <v>0</v>
      </c>
      <c r="M59" s="418">
        <f>432893+[1]táj.1!M59</f>
        <v>432893</v>
      </c>
      <c r="N59" s="418">
        <f>0+[1]táj.1!N59</f>
        <v>0</v>
      </c>
      <c r="O59" s="390">
        <f t="shared" si="3"/>
        <v>478693</v>
      </c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  <c r="HQ59" s="127"/>
      <c r="HR59" s="127"/>
      <c r="HS59" s="127"/>
      <c r="HT59" s="127"/>
      <c r="HU59" s="127"/>
      <c r="HV59" s="127"/>
      <c r="HW59" s="127"/>
      <c r="HX59" s="127"/>
      <c r="HY59" s="127"/>
      <c r="HZ59" s="127"/>
      <c r="IA59" s="127"/>
      <c r="IB59" s="127"/>
      <c r="IC59" s="127"/>
      <c r="ID59" s="127"/>
      <c r="IE59" s="127"/>
      <c r="IF59" s="127"/>
      <c r="IG59" s="127"/>
      <c r="IH59" s="127"/>
      <c r="II59" s="127"/>
      <c r="IJ59" s="127"/>
      <c r="IK59" s="127"/>
      <c r="IL59" s="127"/>
      <c r="IM59" s="127"/>
      <c r="IN59" s="127"/>
      <c r="IO59" s="127"/>
      <c r="IP59" s="127"/>
      <c r="IQ59" s="127"/>
      <c r="IR59" s="127"/>
      <c r="IS59" s="127"/>
      <c r="IT59" s="127"/>
      <c r="IU59" s="127"/>
      <c r="IV59" s="127"/>
    </row>
    <row r="60" spans="1:256" ht="38.25" x14ac:dyDescent="0.2">
      <c r="A60" s="129"/>
      <c r="B60" s="129"/>
      <c r="C60" s="716" t="s">
        <v>465</v>
      </c>
      <c r="D60" s="347">
        <v>163613</v>
      </c>
      <c r="E60" s="418">
        <f>0+[1]táj.1!E60</f>
        <v>0</v>
      </c>
      <c r="F60" s="418">
        <f>0+[1]táj.1!F60</f>
        <v>0</v>
      </c>
      <c r="G60" s="418">
        <f>0+[1]táj.1!G60</f>
        <v>0</v>
      </c>
      <c r="H60" s="418">
        <f>46978+[1]táj.1!H60</f>
        <v>46978</v>
      </c>
      <c r="I60" s="418">
        <f>0+[1]táj.1!I60</f>
        <v>0</v>
      </c>
      <c r="J60" s="418">
        <f>0+[1]táj.1!J60</f>
        <v>0</v>
      </c>
      <c r="K60" s="418">
        <f>0+[1]táj.1!K60</f>
        <v>0</v>
      </c>
      <c r="L60" s="418">
        <f>0+[1]táj.1!L60</f>
        <v>0</v>
      </c>
      <c r="M60" s="418">
        <f>178982+[1]táj.1!M60</f>
        <v>178982</v>
      </c>
      <c r="N60" s="418">
        <f>0+[1]táj.1!N60</f>
        <v>0</v>
      </c>
      <c r="O60" s="390">
        <f t="shared" si="3"/>
        <v>225960</v>
      </c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  <c r="HT60" s="127"/>
      <c r="HU60" s="127"/>
      <c r="HV60" s="127"/>
      <c r="HW60" s="127"/>
      <c r="HX60" s="127"/>
      <c r="HY60" s="127"/>
      <c r="HZ60" s="127"/>
      <c r="IA60" s="127"/>
      <c r="IB60" s="127"/>
      <c r="IC60" s="127"/>
      <c r="ID60" s="127"/>
      <c r="IE60" s="127"/>
      <c r="IF60" s="127"/>
      <c r="IG60" s="127"/>
      <c r="IH60" s="127"/>
      <c r="II60" s="127"/>
      <c r="IJ60" s="127"/>
      <c r="IK60" s="127"/>
      <c r="IL60" s="127"/>
      <c r="IM60" s="127"/>
      <c r="IN60" s="127"/>
      <c r="IO60" s="127"/>
      <c r="IP60" s="127"/>
      <c r="IQ60" s="127"/>
      <c r="IR60" s="127"/>
      <c r="IS60" s="127"/>
      <c r="IT60" s="127"/>
      <c r="IU60" s="127"/>
      <c r="IV60" s="127"/>
    </row>
    <row r="61" spans="1:256" ht="51" x14ac:dyDescent="0.2">
      <c r="A61" s="129"/>
      <c r="B61" s="129"/>
      <c r="C61" s="716" t="s">
        <v>466</v>
      </c>
      <c r="D61" s="347">
        <v>163614</v>
      </c>
      <c r="E61" s="418">
        <f>0+[1]táj.1!E61</f>
        <v>0</v>
      </c>
      <c r="F61" s="418">
        <f>0+[1]táj.1!F61</f>
        <v>0</v>
      </c>
      <c r="G61" s="418">
        <f>0+[1]táj.1!G61</f>
        <v>0</v>
      </c>
      <c r="H61" s="418">
        <f>0+[1]táj.1!H61</f>
        <v>0</v>
      </c>
      <c r="I61" s="418">
        <f>0+[1]táj.1!I61</f>
        <v>0</v>
      </c>
      <c r="J61" s="418">
        <f>0+[1]táj.1!J61</f>
        <v>0</v>
      </c>
      <c r="K61" s="418">
        <f>0+[1]táj.1!K61</f>
        <v>0</v>
      </c>
      <c r="L61" s="418">
        <f>0+[1]táj.1!L61</f>
        <v>0</v>
      </c>
      <c r="M61" s="418">
        <f>88448+[1]táj.1!M61</f>
        <v>88448</v>
      </c>
      <c r="N61" s="418">
        <f>0+[1]táj.1!N61</f>
        <v>0</v>
      </c>
      <c r="O61" s="390">
        <f t="shared" si="3"/>
        <v>88448</v>
      </c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  <c r="HT61" s="127"/>
      <c r="HU61" s="127"/>
      <c r="HV61" s="127"/>
      <c r="HW61" s="127"/>
      <c r="HX61" s="127"/>
      <c r="HY61" s="127"/>
      <c r="HZ61" s="127"/>
      <c r="IA61" s="127"/>
      <c r="IB61" s="127"/>
      <c r="IC61" s="127"/>
      <c r="ID61" s="127"/>
      <c r="IE61" s="127"/>
      <c r="IF61" s="127"/>
      <c r="IG61" s="127"/>
      <c r="IH61" s="127"/>
      <c r="II61" s="127"/>
      <c r="IJ61" s="127"/>
      <c r="IK61" s="127"/>
      <c r="IL61" s="127"/>
      <c r="IM61" s="127"/>
      <c r="IN61" s="127"/>
      <c r="IO61" s="127"/>
      <c r="IP61" s="127"/>
      <c r="IQ61" s="127"/>
      <c r="IR61" s="127"/>
      <c r="IS61" s="127"/>
      <c r="IT61" s="127"/>
      <c r="IU61" s="127"/>
      <c r="IV61" s="127"/>
    </row>
    <row r="62" spans="1:256" ht="63.75" x14ac:dyDescent="0.2">
      <c r="A62" s="129"/>
      <c r="B62" s="129"/>
      <c r="C62" s="716" t="s">
        <v>467</v>
      </c>
      <c r="D62" s="347">
        <v>163615</v>
      </c>
      <c r="E62" s="418">
        <f>299+[1]táj.1!E62</f>
        <v>299</v>
      </c>
      <c r="F62" s="418">
        <f>0+[1]táj.1!F62</f>
        <v>0</v>
      </c>
      <c r="G62" s="418">
        <f>0+[1]táj.1!G62</f>
        <v>0</v>
      </c>
      <c r="H62" s="418">
        <f>0+[1]táj.1!H62</f>
        <v>0</v>
      </c>
      <c r="I62" s="418">
        <f>0+[1]táj.1!I62</f>
        <v>0</v>
      </c>
      <c r="J62" s="418">
        <f>0+[1]táj.1!J62</f>
        <v>0</v>
      </c>
      <c r="K62" s="418">
        <f>0+[1]táj.1!K62</f>
        <v>0</v>
      </c>
      <c r="L62" s="418">
        <f>0+[1]táj.1!L62</f>
        <v>0</v>
      </c>
      <c r="M62" s="418">
        <f>8688+[1]táj.1!M62</f>
        <v>8688</v>
      </c>
      <c r="N62" s="418">
        <f>0+[1]táj.1!N62</f>
        <v>0</v>
      </c>
      <c r="O62" s="390">
        <f t="shared" si="3"/>
        <v>8987</v>
      </c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  <c r="HQ62" s="127"/>
      <c r="HR62" s="127"/>
      <c r="HS62" s="127"/>
      <c r="HT62" s="127"/>
      <c r="HU62" s="127"/>
      <c r="HV62" s="127"/>
      <c r="HW62" s="127"/>
      <c r="HX62" s="127"/>
      <c r="HY62" s="127"/>
      <c r="HZ62" s="127"/>
      <c r="IA62" s="127"/>
      <c r="IB62" s="127"/>
      <c r="IC62" s="127"/>
      <c r="ID62" s="127"/>
      <c r="IE62" s="127"/>
      <c r="IF62" s="127"/>
      <c r="IG62" s="127"/>
      <c r="IH62" s="127"/>
      <c r="II62" s="127"/>
      <c r="IJ62" s="127"/>
      <c r="IK62" s="127"/>
      <c r="IL62" s="127"/>
      <c r="IM62" s="127"/>
      <c r="IN62" s="127"/>
      <c r="IO62" s="127"/>
      <c r="IP62" s="127"/>
      <c r="IQ62" s="127"/>
      <c r="IR62" s="127"/>
      <c r="IS62" s="127"/>
      <c r="IT62" s="127"/>
      <c r="IU62" s="127"/>
      <c r="IV62" s="127"/>
    </row>
    <row r="63" spans="1:256" ht="25.5" x14ac:dyDescent="0.2">
      <c r="A63" s="129"/>
      <c r="B63" s="129"/>
      <c r="C63" s="716" t="s">
        <v>468</v>
      </c>
      <c r="D63" s="347">
        <v>163616</v>
      </c>
      <c r="E63" s="418">
        <f>0+[1]táj.1!E63</f>
        <v>0</v>
      </c>
      <c r="F63" s="418">
        <f>0+[1]táj.1!F63</f>
        <v>0</v>
      </c>
      <c r="G63" s="418">
        <f>0+[1]táj.1!G63</f>
        <v>0</v>
      </c>
      <c r="H63" s="418">
        <f>0+[1]táj.1!H63</f>
        <v>0</v>
      </c>
      <c r="I63" s="418">
        <f>0+[1]táj.1!I63</f>
        <v>0</v>
      </c>
      <c r="J63" s="418">
        <f>0+[1]táj.1!J63</f>
        <v>0</v>
      </c>
      <c r="K63" s="418">
        <f>0+[1]táj.1!K63</f>
        <v>0</v>
      </c>
      <c r="L63" s="418">
        <f>0+[1]táj.1!L63</f>
        <v>0</v>
      </c>
      <c r="M63" s="418">
        <f>31299+[1]táj.1!M63</f>
        <v>31299</v>
      </c>
      <c r="N63" s="418">
        <f>0+[1]táj.1!N63</f>
        <v>0</v>
      </c>
      <c r="O63" s="390">
        <f t="shared" si="3"/>
        <v>31299</v>
      </c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  <c r="HQ63" s="127"/>
      <c r="HR63" s="127"/>
      <c r="HS63" s="127"/>
      <c r="HT63" s="127"/>
      <c r="HU63" s="127"/>
      <c r="HV63" s="127"/>
      <c r="HW63" s="127"/>
      <c r="HX63" s="127"/>
      <c r="HY63" s="127"/>
      <c r="HZ63" s="127"/>
      <c r="IA63" s="127"/>
      <c r="IB63" s="127"/>
      <c r="IC63" s="127"/>
      <c r="ID63" s="127"/>
      <c r="IE63" s="127"/>
      <c r="IF63" s="127"/>
      <c r="IG63" s="127"/>
      <c r="IH63" s="127"/>
      <c r="II63" s="127"/>
      <c r="IJ63" s="127"/>
      <c r="IK63" s="127"/>
      <c r="IL63" s="127"/>
      <c r="IM63" s="127"/>
      <c r="IN63" s="127"/>
      <c r="IO63" s="127"/>
      <c r="IP63" s="127"/>
      <c r="IQ63" s="127"/>
      <c r="IR63" s="127"/>
      <c r="IS63" s="127"/>
      <c r="IT63" s="127"/>
      <c r="IU63" s="127"/>
      <c r="IV63" s="127"/>
    </row>
    <row r="64" spans="1:256" ht="63.75" x14ac:dyDescent="0.2">
      <c r="A64" s="129"/>
      <c r="B64" s="129"/>
      <c r="C64" s="716" t="s">
        <v>469</v>
      </c>
      <c r="D64" s="347">
        <v>163617</v>
      </c>
      <c r="E64" s="418">
        <f>0+[1]táj.1!E64</f>
        <v>0</v>
      </c>
      <c r="F64" s="418">
        <f>0+[1]táj.1!F64</f>
        <v>0</v>
      </c>
      <c r="G64" s="418">
        <f>0+[1]táj.1!G64</f>
        <v>0</v>
      </c>
      <c r="H64" s="418">
        <f>0+[1]táj.1!H64</f>
        <v>0</v>
      </c>
      <c r="I64" s="418">
        <f>0+[1]táj.1!I64</f>
        <v>0</v>
      </c>
      <c r="J64" s="418">
        <f>0+[1]táj.1!J64</f>
        <v>0</v>
      </c>
      <c r="K64" s="418">
        <f>0+[1]táj.1!K64</f>
        <v>0</v>
      </c>
      <c r="L64" s="418">
        <f>0+[1]táj.1!L64</f>
        <v>0</v>
      </c>
      <c r="M64" s="418">
        <f>1099+[1]táj.1!M64</f>
        <v>1099</v>
      </c>
      <c r="N64" s="418">
        <f>0+[1]táj.1!N64</f>
        <v>0</v>
      </c>
      <c r="O64" s="390">
        <f t="shared" si="3"/>
        <v>1099</v>
      </c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  <c r="HQ64" s="127"/>
      <c r="HR64" s="127"/>
      <c r="HS64" s="127"/>
      <c r="HT64" s="127"/>
      <c r="HU64" s="127"/>
      <c r="HV64" s="127"/>
      <c r="HW64" s="127"/>
      <c r="HX64" s="127"/>
      <c r="HY64" s="127"/>
      <c r="HZ64" s="127"/>
      <c r="IA64" s="127"/>
      <c r="IB64" s="127"/>
      <c r="IC64" s="127"/>
      <c r="ID64" s="127"/>
      <c r="IE64" s="127"/>
      <c r="IF64" s="127"/>
      <c r="IG64" s="127"/>
      <c r="IH64" s="127"/>
      <c r="II64" s="127"/>
      <c r="IJ64" s="127"/>
      <c r="IK64" s="127"/>
      <c r="IL64" s="127"/>
      <c r="IM64" s="127"/>
      <c r="IN64" s="127"/>
      <c r="IO64" s="127"/>
      <c r="IP64" s="127"/>
      <c r="IQ64" s="127"/>
      <c r="IR64" s="127"/>
      <c r="IS64" s="127"/>
      <c r="IT64" s="127"/>
      <c r="IU64" s="127"/>
      <c r="IV64" s="127"/>
    </row>
    <row r="65" spans="1:256" ht="51" x14ac:dyDescent="0.2">
      <c r="A65" s="129"/>
      <c r="B65" s="129"/>
      <c r="C65" s="716" t="s">
        <v>470</v>
      </c>
      <c r="D65" s="636">
        <v>163622</v>
      </c>
      <c r="E65" s="418">
        <f>2862+[1]táj.1!E65</f>
        <v>2862</v>
      </c>
      <c r="F65" s="418">
        <f>0+[1]táj.1!F65</f>
        <v>0</v>
      </c>
      <c r="G65" s="418">
        <f>0+[1]táj.1!G65</f>
        <v>0</v>
      </c>
      <c r="H65" s="418">
        <f>0+[1]táj.1!H65</f>
        <v>0</v>
      </c>
      <c r="I65" s="418">
        <f>0+[1]táj.1!I65</f>
        <v>0</v>
      </c>
      <c r="J65" s="418">
        <f>0+[1]táj.1!J65</f>
        <v>0</v>
      </c>
      <c r="K65" s="418">
        <f>0+[1]táj.1!K65</f>
        <v>0</v>
      </c>
      <c r="L65" s="418">
        <f>0+[1]táj.1!L65</f>
        <v>0</v>
      </c>
      <c r="M65" s="418">
        <f>46+[1]táj.1!M65</f>
        <v>46</v>
      </c>
      <c r="N65" s="418">
        <f>0+[1]táj.1!N65</f>
        <v>0</v>
      </c>
      <c r="O65" s="390">
        <f t="shared" si="3"/>
        <v>2908</v>
      </c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  <c r="HQ65" s="127"/>
      <c r="HR65" s="127"/>
      <c r="HS65" s="127"/>
      <c r="HT65" s="127"/>
      <c r="HU65" s="127"/>
      <c r="HV65" s="127"/>
      <c r="HW65" s="127"/>
      <c r="HX65" s="127"/>
      <c r="HY65" s="127"/>
      <c r="HZ65" s="127"/>
      <c r="IA65" s="127"/>
      <c r="IB65" s="127"/>
      <c r="IC65" s="127"/>
      <c r="ID65" s="127"/>
      <c r="IE65" s="127"/>
      <c r="IF65" s="127"/>
      <c r="IG65" s="127"/>
      <c r="IH65" s="127"/>
      <c r="II65" s="127"/>
      <c r="IJ65" s="127"/>
      <c r="IK65" s="127"/>
      <c r="IL65" s="127"/>
      <c r="IM65" s="127"/>
      <c r="IN65" s="127"/>
      <c r="IO65" s="127"/>
      <c r="IP65" s="127"/>
      <c r="IQ65" s="127"/>
      <c r="IR65" s="127"/>
      <c r="IS65" s="127"/>
      <c r="IT65" s="127"/>
      <c r="IU65" s="127"/>
      <c r="IV65" s="127"/>
    </row>
    <row r="66" spans="1:256" ht="38.25" x14ac:dyDescent="0.2">
      <c r="A66" s="129"/>
      <c r="B66" s="129"/>
      <c r="C66" s="716" t="s">
        <v>471</v>
      </c>
      <c r="D66" s="636">
        <v>163623</v>
      </c>
      <c r="E66" s="418">
        <f>3008+[1]táj.1!E66</f>
        <v>3008</v>
      </c>
      <c r="F66" s="418">
        <f>0+[1]táj.1!F66</f>
        <v>0</v>
      </c>
      <c r="G66" s="418">
        <f>0+[1]táj.1!G66</f>
        <v>0</v>
      </c>
      <c r="H66" s="418">
        <f>0+[1]táj.1!H66</f>
        <v>0</v>
      </c>
      <c r="I66" s="418">
        <f>0+[1]táj.1!I66</f>
        <v>0</v>
      </c>
      <c r="J66" s="418">
        <f>0+[1]táj.1!J66</f>
        <v>0</v>
      </c>
      <c r="K66" s="418">
        <f>0+[1]táj.1!K66</f>
        <v>0</v>
      </c>
      <c r="L66" s="418">
        <f>0+[1]táj.1!L66</f>
        <v>0</v>
      </c>
      <c r="M66" s="418">
        <f>0+[1]táj.1!M66</f>
        <v>0</v>
      </c>
      <c r="N66" s="418">
        <f>0+[1]táj.1!N66</f>
        <v>0</v>
      </c>
      <c r="O66" s="390">
        <f t="shared" si="3"/>
        <v>3008</v>
      </c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  <c r="HQ66" s="127"/>
      <c r="HR66" s="127"/>
      <c r="HS66" s="127"/>
      <c r="HT66" s="127"/>
      <c r="HU66" s="127"/>
      <c r="HV66" s="127"/>
      <c r="HW66" s="127"/>
      <c r="HX66" s="127"/>
      <c r="HY66" s="127"/>
      <c r="HZ66" s="127"/>
      <c r="IA66" s="127"/>
      <c r="IB66" s="127"/>
      <c r="IC66" s="127"/>
      <c r="ID66" s="127"/>
      <c r="IE66" s="127"/>
      <c r="IF66" s="127"/>
      <c r="IG66" s="127"/>
      <c r="IH66" s="127"/>
      <c r="II66" s="127"/>
      <c r="IJ66" s="127"/>
      <c r="IK66" s="127"/>
      <c r="IL66" s="127"/>
      <c r="IM66" s="127"/>
      <c r="IN66" s="127"/>
      <c r="IO66" s="127"/>
      <c r="IP66" s="127"/>
      <c r="IQ66" s="127"/>
      <c r="IR66" s="127"/>
      <c r="IS66" s="127"/>
      <c r="IT66" s="127"/>
      <c r="IU66" s="127"/>
      <c r="IV66" s="127"/>
    </row>
    <row r="67" spans="1:256" ht="25.5" x14ac:dyDescent="0.2">
      <c r="A67" s="129"/>
      <c r="B67" s="129"/>
      <c r="C67" s="426" t="s">
        <v>472</v>
      </c>
      <c r="D67" s="636">
        <v>163625</v>
      </c>
      <c r="E67" s="418">
        <f>87000+[1]táj.1!E67</f>
        <v>87000</v>
      </c>
      <c r="F67" s="418">
        <f>1001000+[1]táj.1!F67</f>
        <v>1001000</v>
      </c>
      <c r="G67" s="418">
        <f>0+[1]táj.1!G67</f>
        <v>0</v>
      </c>
      <c r="H67" s="418">
        <f>0+[1]táj.1!H67</f>
        <v>0</v>
      </c>
      <c r="I67" s="418">
        <f>0+[1]táj.1!I67</f>
        <v>0</v>
      </c>
      <c r="J67" s="418">
        <f>0+[1]táj.1!J67</f>
        <v>0</v>
      </c>
      <c r="K67" s="418">
        <f>0+[1]táj.1!K67</f>
        <v>0</v>
      </c>
      <c r="L67" s="418">
        <f>0+[1]táj.1!L67</f>
        <v>0</v>
      </c>
      <c r="M67" s="418">
        <f>0+[1]táj.1!M67</f>
        <v>0</v>
      </c>
      <c r="N67" s="418">
        <f>0+[1]táj.1!N67</f>
        <v>0</v>
      </c>
      <c r="O67" s="390">
        <f t="shared" si="3"/>
        <v>1088000</v>
      </c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  <c r="HQ67" s="127"/>
      <c r="HR67" s="127"/>
      <c r="HS67" s="127"/>
      <c r="HT67" s="127"/>
      <c r="HU67" s="127"/>
      <c r="HV67" s="127"/>
      <c r="HW67" s="127"/>
      <c r="HX67" s="127"/>
      <c r="HY67" s="127"/>
      <c r="HZ67" s="127"/>
      <c r="IA67" s="127"/>
      <c r="IB67" s="127"/>
      <c r="IC67" s="127"/>
      <c r="ID67" s="127"/>
      <c r="IE67" s="127"/>
      <c r="IF67" s="127"/>
      <c r="IG67" s="127"/>
      <c r="IH67" s="127"/>
      <c r="II67" s="127"/>
      <c r="IJ67" s="127"/>
      <c r="IK67" s="127"/>
      <c r="IL67" s="127"/>
      <c r="IM67" s="127"/>
      <c r="IN67" s="127"/>
      <c r="IO67" s="127"/>
      <c r="IP67" s="127"/>
      <c r="IQ67" s="127"/>
      <c r="IR67" s="127"/>
      <c r="IS67" s="127"/>
      <c r="IT67" s="127"/>
      <c r="IU67" s="127"/>
      <c r="IV67" s="127"/>
    </row>
    <row r="68" spans="1:256" ht="38.25" x14ac:dyDescent="0.2">
      <c r="A68" s="129"/>
      <c r="B68" s="129"/>
      <c r="C68" s="412" t="s">
        <v>473</v>
      </c>
      <c r="D68" s="636">
        <v>163626</v>
      </c>
      <c r="E68" s="418">
        <f>0+[1]táj.1!E68</f>
        <v>0</v>
      </c>
      <c r="F68" s="418">
        <f>0+[1]táj.1!F68</f>
        <v>0</v>
      </c>
      <c r="G68" s="418">
        <f>0+[1]táj.1!G68</f>
        <v>0</v>
      </c>
      <c r="H68" s="418">
        <f>61806+[1]táj.1!H68</f>
        <v>61806</v>
      </c>
      <c r="I68" s="418">
        <f>0+[1]táj.1!I68</f>
        <v>0</v>
      </c>
      <c r="J68" s="418">
        <f>0+[1]táj.1!J68</f>
        <v>0</v>
      </c>
      <c r="K68" s="418">
        <f>0+[1]táj.1!K68</f>
        <v>0</v>
      </c>
      <c r="L68" s="418">
        <f>0+[1]táj.1!L68</f>
        <v>0</v>
      </c>
      <c r="M68" s="418">
        <f>152292+[1]táj.1!M68</f>
        <v>152292</v>
      </c>
      <c r="N68" s="418">
        <f>0+[1]táj.1!N68</f>
        <v>0</v>
      </c>
      <c r="O68" s="390">
        <f t="shared" si="3"/>
        <v>214098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  <c r="HQ68" s="127"/>
      <c r="HR68" s="127"/>
      <c r="HS68" s="127"/>
      <c r="HT68" s="127"/>
      <c r="HU68" s="127"/>
      <c r="HV68" s="127"/>
      <c r="HW68" s="127"/>
      <c r="HX68" s="127"/>
      <c r="HY68" s="127"/>
      <c r="HZ68" s="127"/>
      <c r="IA68" s="127"/>
      <c r="IB68" s="127"/>
      <c r="IC68" s="127"/>
      <c r="ID68" s="127"/>
      <c r="IE68" s="127"/>
      <c r="IF68" s="127"/>
      <c r="IG68" s="127"/>
      <c r="IH68" s="127"/>
      <c r="II68" s="127"/>
      <c r="IJ68" s="127"/>
      <c r="IK68" s="127"/>
      <c r="IL68" s="127"/>
      <c r="IM68" s="127"/>
      <c r="IN68" s="127"/>
      <c r="IO68" s="127"/>
      <c r="IP68" s="127"/>
      <c r="IQ68" s="127"/>
      <c r="IR68" s="127"/>
      <c r="IS68" s="127"/>
      <c r="IT68" s="127"/>
      <c r="IU68" s="127"/>
      <c r="IV68" s="127"/>
    </row>
    <row r="69" spans="1:256" ht="38.25" x14ac:dyDescent="0.2">
      <c r="A69" s="129"/>
      <c r="B69" s="129"/>
      <c r="C69" s="427" t="s">
        <v>474</v>
      </c>
      <c r="D69" s="636">
        <v>163627</v>
      </c>
      <c r="E69" s="418">
        <f>0+[1]táj.1!E69</f>
        <v>0</v>
      </c>
      <c r="F69" s="418">
        <f>736422+[1]táj.1!F69</f>
        <v>736422</v>
      </c>
      <c r="G69" s="418">
        <f>0+[1]táj.1!G69</f>
        <v>0</v>
      </c>
      <c r="H69" s="418">
        <f>0+[1]táj.1!H69</f>
        <v>0</v>
      </c>
      <c r="I69" s="418">
        <f>0+[1]táj.1!I69</f>
        <v>0</v>
      </c>
      <c r="J69" s="418">
        <f>0+[1]táj.1!J69</f>
        <v>0</v>
      </c>
      <c r="K69" s="418">
        <f>0+[1]táj.1!K69</f>
        <v>0</v>
      </c>
      <c r="L69" s="418">
        <f>0+[1]táj.1!L69</f>
        <v>0</v>
      </c>
      <c r="M69" s="418">
        <f>530341+[1]táj.1!M69</f>
        <v>530341</v>
      </c>
      <c r="N69" s="418">
        <f>0+[1]táj.1!N69</f>
        <v>0</v>
      </c>
      <c r="O69" s="390">
        <f t="shared" si="3"/>
        <v>1266763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  <c r="HT69" s="127"/>
      <c r="HU69" s="127"/>
      <c r="HV69" s="127"/>
      <c r="HW69" s="127"/>
      <c r="HX69" s="127"/>
      <c r="HY69" s="127"/>
      <c r="HZ69" s="127"/>
      <c r="IA69" s="127"/>
      <c r="IB69" s="127"/>
      <c r="IC69" s="127"/>
      <c r="ID69" s="127"/>
      <c r="IE69" s="127"/>
      <c r="IF69" s="127"/>
      <c r="IG69" s="127"/>
      <c r="IH69" s="127"/>
      <c r="II69" s="127"/>
      <c r="IJ69" s="127"/>
      <c r="IK69" s="127"/>
      <c r="IL69" s="127"/>
      <c r="IM69" s="127"/>
      <c r="IN69" s="127"/>
      <c r="IO69" s="127"/>
      <c r="IP69" s="127"/>
      <c r="IQ69" s="127"/>
      <c r="IR69" s="127"/>
      <c r="IS69" s="127"/>
      <c r="IT69" s="127"/>
      <c r="IU69" s="127"/>
      <c r="IV69" s="127"/>
    </row>
    <row r="70" spans="1:256" ht="25.5" x14ac:dyDescent="0.2">
      <c r="A70" s="129"/>
      <c r="B70" s="129"/>
      <c r="C70" s="427" t="s">
        <v>475</v>
      </c>
      <c r="D70" s="636">
        <v>163629</v>
      </c>
      <c r="E70" s="418">
        <f>0+[1]táj.1!E70</f>
        <v>0</v>
      </c>
      <c r="F70" s="418">
        <f>0+[1]táj.1!F70</f>
        <v>0</v>
      </c>
      <c r="G70" s="418">
        <f>0+[1]táj.1!G70</f>
        <v>0</v>
      </c>
      <c r="H70" s="418">
        <f>246976+[1]táj.1!H70</f>
        <v>246976</v>
      </c>
      <c r="I70" s="418">
        <f>0+[1]táj.1!I70</f>
        <v>0</v>
      </c>
      <c r="J70" s="418">
        <f>0+[1]táj.1!J70</f>
        <v>0</v>
      </c>
      <c r="K70" s="418">
        <f>0+[1]táj.1!K70</f>
        <v>0</v>
      </c>
      <c r="L70" s="418">
        <f>0+[1]táj.1!L70</f>
        <v>0</v>
      </c>
      <c r="M70" s="418">
        <f>940124+[1]táj.1!M70</f>
        <v>940124</v>
      </c>
      <c r="N70" s="418">
        <f>0+[1]táj.1!N70</f>
        <v>0</v>
      </c>
      <c r="O70" s="390">
        <f t="shared" si="3"/>
        <v>1187100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  <c r="HT70" s="127"/>
      <c r="HU70" s="127"/>
      <c r="HV70" s="127"/>
      <c r="HW70" s="127"/>
      <c r="HX70" s="127"/>
      <c r="HY70" s="127"/>
      <c r="HZ70" s="127"/>
      <c r="IA70" s="127"/>
      <c r="IB70" s="127"/>
      <c r="IC70" s="127"/>
      <c r="ID70" s="127"/>
      <c r="IE70" s="127"/>
      <c r="IF70" s="127"/>
      <c r="IG70" s="127"/>
      <c r="IH70" s="127"/>
      <c r="II70" s="127"/>
      <c r="IJ70" s="127"/>
      <c r="IK70" s="127"/>
      <c r="IL70" s="127"/>
      <c r="IM70" s="127"/>
      <c r="IN70" s="127"/>
      <c r="IO70" s="127"/>
      <c r="IP70" s="127"/>
      <c r="IQ70" s="127"/>
      <c r="IR70" s="127"/>
      <c r="IS70" s="127"/>
      <c r="IT70" s="127"/>
      <c r="IU70" s="127"/>
      <c r="IV70" s="127"/>
    </row>
    <row r="71" spans="1:256" ht="38.25" x14ac:dyDescent="0.2">
      <c r="A71" s="129"/>
      <c r="B71" s="129"/>
      <c r="C71" s="717" t="s">
        <v>476</v>
      </c>
      <c r="D71" s="636">
        <v>163628</v>
      </c>
      <c r="E71" s="418">
        <f>0+[1]táj.1!E71</f>
        <v>0</v>
      </c>
      <c r="F71" s="418">
        <f>8000+[1]táj.1!F71</f>
        <v>8000</v>
      </c>
      <c r="G71" s="418">
        <f>0+[1]táj.1!G71</f>
        <v>0</v>
      </c>
      <c r="H71" s="418">
        <f>162483+[1]táj.1!H71</f>
        <v>162483</v>
      </c>
      <c r="I71" s="418">
        <f>0+[1]táj.1!I71</f>
        <v>0</v>
      </c>
      <c r="J71" s="418">
        <f>0+[1]táj.1!J71</f>
        <v>0</v>
      </c>
      <c r="K71" s="418">
        <f>0+[1]táj.1!K71</f>
        <v>0</v>
      </c>
      <c r="L71" s="418">
        <f>46000+[1]táj.1!L71</f>
        <v>46000</v>
      </c>
      <c r="M71" s="418">
        <f>547169+[1]táj.1!M71</f>
        <v>547169</v>
      </c>
      <c r="N71" s="418">
        <f>0+[1]táj.1!N71</f>
        <v>0</v>
      </c>
      <c r="O71" s="390">
        <f t="shared" si="3"/>
        <v>763652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  <c r="HQ71" s="127"/>
      <c r="HR71" s="127"/>
      <c r="HS71" s="127"/>
      <c r="HT71" s="127"/>
      <c r="HU71" s="127"/>
      <c r="HV71" s="127"/>
      <c r="HW71" s="127"/>
      <c r="HX71" s="127"/>
      <c r="HY71" s="127"/>
      <c r="HZ71" s="127"/>
      <c r="IA71" s="127"/>
      <c r="IB71" s="127"/>
      <c r="IC71" s="127"/>
      <c r="ID71" s="127"/>
      <c r="IE71" s="127"/>
      <c r="IF71" s="127"/>
      <c r="IG71" s="127"/>
      <c r="IH71" s="127"/>
      <c r="II71" s="127"/>
      <c r="IJ71" s="127"/>
      <c r="IK71" s="127"/>
      <c r="IL71" s="127"/>
      <c r="IM71" s="127"/>
      <c r="IN71" s="127"/>
      <c r="IO71" s="127"/>
      <c r="IP71" s="127"/>
      <c r="IQ71" s="127"/>
      <c r="IR71" s="127"/>
      <c r="IS71" s="127"/>
      <c r="IT71" s="127"/>
      <c r="IU71" s="127"/>
      <c r="IV71" s="127"/>
    </row>
    <row r="72" spans="1:256" ht="38.25" x14ac:dyDescent="0.2">
      <c r="A72" s="129"/>
      <c r="B72" s="129"/>
      <c r="C72" s="409" t="s">
        <v>477</v>
      </c>
      <c r="D72" s="636">
        <v>163633</v>
      </c>
      <c r="E72" s="418">
        <f>0+[1]táj.1!E72</f>
        <v>0</v>
      </c>
      <c r="F72" s="418">
        <f>0+[1]táj.1!F72</f>
        <v>0</v>
      </c>
      <c r="G72" s="418">
        <f>0+[1]táj.1!G72</f>
        <v>0</v>
      </c>
      <c r="H72" s="418">
        <f>0+[1]táj.1!H72</f>
        <v>0</v>
      </c>
      <c r="I72" s="418">
        <f>0+[1]táj.1!I72</f>
        <v>0</v>
      </c>
      <c r="J72" s="418">
        <f>0+[1]táj.1!J72</f>
        <v>0</v>
      </c>
      <c r="K72" s="418">
        <f>0+[1]táj.1!K72</f>
        <v>0</v>
      </c>
      <c r="L72" s="418">
        <f>0+[1]táj.1!L72</f>
        <v>0</v>
      </c>
      <c r="M72" s="418">
        <f>179170+[1]táj.1!M72</f>
        <v>179170</v>
      </c>
      <c r="N72" s="418">
        <f>0+[1]táj.1!N72</f>
        <v>0</v>
      </c>
      <c r="O72" s="390">
        <f t="shared" si="3"/>
        <v>179170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  <c r="HQ72" s="127"/>
      <c r="HR72" s="127"/>
      <c r="HS72" s="127"/>
      <c r="HT72" s="127"/>
      <c r="HU72" s="127"/>
      <c r="HV72" s="127"/>
      <c r="HW72" s="127"/>
      <c r="HX72" s="127"/>
      <c r="HY72" s="127"/>
      <c r="HZ72" s="127"/>
      <c r="IA72" s="127"/>
      <c r="IB72" s="127"/>
      <c r="IC72" s="127"/>
      <c r="ID72" s="127"/>
      <c r="IE72" s="127"/>
      <c r="IF72" s="127"/>
      <c r="IG72" s="127"/>
      <c r="IH72" s="127"/>
      <c r="II72" s="127"/>
      <c r="IJ72" s="127"/>
      <c r="IK72" s="127"/>
      <c r="IL72" s="127"/>
      <c r="IM72" s="127"/>
      <c r="IN72" s="127"/>
      <c r="IO72" s="127"/>
      <c r="IP72" s="127"/>
      <c r="IQ72" s="127"/>
      <c r="IR72" s="127"/>
      <c r="IS72" s="127"/>
      <c r="IT72" s="127"/>
      <c r="IU72" s="127"/>
      <c r="IV72" s="127"/>
    </row>
    <row r="73" spans="1:256" ht="24" x14ac:dyDescent="0.2">
      <c r="A73" s="129"/>
      <c r="B73" s="129"/>
      <c r="C73" s="428" t="s">
        <v>478</v>
      </c>
      <c r="D73" s="636">
        <v>163646</v>
      </c>
      <c r="E73" s="418">
        <f>0+[1]táj.1!E73</f>
        <v>0</v>
      </c>
      <c r="F73" s="418">
        <f>0+[1]táj.1!F73</f>
        <v>0</v>
      </c>
      <c r="G73" s="418">
        <f>0+[1]táj.1!G73</f>
        <v>0</v>
      </c>
      <c r="H73" s="418">
        <f>0+[1]táj.1!H73</f>
        <v>0</v>
      </c>
      <c r="I73" s="418">
        <f>0+[1]táj.1!I73</f>
        <v>0</v>
      </c>
      <c r="J73" s="418">
        <f>0+[1]táj.1!J73</f>
        <v>0</v>
      </c>
      <c r="K73" s="418">
        <f>0+[1]táj.1!K73</f>
        <v>0</v>
      </c>
      <c r="L73" s="418">
        <f>0+[1]táj.1!L73</f>
        <v>0</v>
      </c>
      <c r="M73" s="418">
        <f>8667+[1]táj.1!M73</f>
        <v>8667</v>
      </c>
      <c r="N73" s="418">
        <f>0+[1]táj.1!N73</f>
        <v>0</v>
      </c>
      <c r="O73" s="390">
        <f t="shared" si="3"/>
        <v>8667</v>
      </c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  <c r="HT73" s="127"/>
      <c r="HU73" s="127"/>
      <c r="HV73" s="127"/>
      <c r="HW73" s="127"/>
      <c r="HX73" s="127"/>
      <c r="HY73" s="127"/>
      <c r="HZ73" s="127"/>
      <c r="IA73" s="127"/>
      <c r="IB73" s="127"/>
      <c r="IC73" s="127"/>
      <c r="ID73" s="127"/>
      <c r="IE73" s="127"/>
      <c r="IF73" s="127"/>
      <c r="IG73" s="127"/>
      <c r="IH73" s="127"/>
      <c r="II73" s="127"/>
      <c r="IJ73" s="127"/>
      <c r="IK73" s="127"/>
      <c r="IL73" s="127"/>
      <c r="IM73" s="127"/>
      <c r="IN73" s="127"/>
      <c r="IO73" s="127"/>
      <c r="IP73" s="127"/>
      <c r="IQ73" s="127"/>
      <c r="IR73" s="127"/>
      <c r="IS73" s="127"/>
      <c r="IT73" s="127"/>
      <c r="IU73" s="127"/>
      <c r="IV73" s="127"/>
    </row>
    <row r="74" spans="1:256" ht="51" x14ac:dyDescent="0.2">
      <c r="A74" s="129"/>
      <c r="B74" s="129"/>
      <c r="C74" s="412" t="s">
        <v>479</v>
      </c>
      <c r="D74" s="636">
        <v>163637</v>
      </c>
      <c r="E74" s="418">
        <f>0+[1]táj.1!E74</f>
        <v>0</v>
      </c>
      <c r="F74" s="418">
        <f>0+[1]táj.1!F74</f>
        <v>0</v>
      </c>
      <c r="G74" s="418">
        <f>0+[1]táj.1!G74</f>
        <v>0</v>
      </c>
      <c r="H74" s="418">
        <f>71351+[1]táj.1!H74</f>
        <v>71351</v>
      </c>
      <c r="I74" s="418">
        <f>0+[1]táj.1!I74</f>
        <v>0</v>
      </c>
      <c r="J74" s="418">
        <f>0+[1]táj.1!J74</f>
        <v>0</v>
      </c>
      <c r="K74" s="418">
        <f>0+[1]táj.1!K74</f>
        <v>0</v>
      </c>
      <c r="L74" s="418">
        <f>0+[1]táj.1!L74</f>
        <v>0</v>
      </c>
      <c r="M74" s="418">
        <f>264262+[1]táj.1!M74</f>
        <v>264262</v>
      </c>
      <c r="N74" s="418">
        <f>0+[1]táj.1!N74</f>
        <v>0</v>
      </c>
      <c r="O74" s="390">
        <f t="shared" si="3"/>
        <v>335613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  <c r="HT74" s="127"/>
      <c r="HU74" s="127"/>
      <c r="HV74" s="127"/>
      <c r="HW74" s="127"/>
      <c r="HX74" s="127"/>
      <c r="HY74" s="127"/>
      <c r="HZ74" s="127"/>
      <c r="IA74" s="127"/>
      <c r="IB74" s="127"/>
      <c r="IC74" s="127"/>
      <c r="ID74" s="127"/>
      <c r="IE74" s="127"/>
      <c r="IF74" s="127"/>
      <c r="IG74" s="127"/>
      <c r="IH74" s="127"/>
      <c r="II74" s="127"/>
      <c r="IJ74" s="127"/>
      <c r="IK74" s="127"/>
      <c r="IL74" s="127"/>
      <c r="IM74" s="127"/>
      <c r="IN74" s="127"/>
      <c r="IO74" s="127"/>
      <c r="IP74" s="127"/>
      <c r="IQ74" s="127"/>
      <c r="IR74" s="127"/>
      <c r="IS74" s="127"/>
      <c r="IT74" s="127"/>
      <c r="IU74" s="127"/>
      <c r="IV74" s="127"/>
    </row>
    <row r="75" spans="1:256" ht="25.5" x14ac:dyDescent="0.2">
      <c r="A75" s="129"/>
      <c r="B75" s="129"/>
      <c r="C75" s="409" t="s">
        <v>480</v>
      </c>
      <c r="D75" s="636">
        <v>163638</v>
      </c>
      <c r="E75" s="418">
        <f>0+[1]táj.1!E75</f>
        <v>0</v>
      </c>
      <c r="F75" s="418">
        <f>75990+[1]táj.1!F75</f>
        <v>75990</v>
      </c>
      <c r="G75" s="418">
        <f>0+[1]táj.1!G75</f>
        <v>0</v>
      </c>
      <c r="H75" s="418">
        <f>0+[1]táj.1!H75</f>
        <v>0</v>
      </c>
      <c r="I75" s="418">
        <f>0+[1]táj.1!I75</f>
        <v>0</v>
      </c>
      <c r="J75" s="418">
        <f>0+[1]táj.1!J75</f>
        <v>0</v>
      </c>
      <c r="K75" s="418">
        <f>0+[1]táj.1!K75</f>
        <v>0</v>
      </c>
      <c r="L75" s="418">
        <f>0+[1]táj.1!L75</f>
        <v>0</v>
      </c>
      <c r="M75" s="418">
        <f>247052+[1]táj.1!M75</f>
        <v>247052</v>
      </c>
      <c r="N75" s="418">
        <f>0+[1]táj.1!N75</f>
        <v>0</v>
      </c>
      <c r="O75" s="390">
        <f t="shared" si="3"/>
        <v>323042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  <c r="HQ75" s="127"/>
      <c r="HR75" s="127"/>
      <c r="HS75" s="127"/>
      <c r="HT75" s="127"/>
      <c r="HU75" s="127"/>
      <c r="HV75" s="127"/>
      <c r="HW75" s="127"/>
      <c r="HX75" s="127"/>
      <c r="HY75" s="127"/>
      <c r="HZ75" s="127"/>
      <c r="IA75" s="127"/>
      <c r="IB75" s="127"/>
      <c r="IC75" s="127"/>
      <c r="ID75" s="127"/>
      <c r="IE75" s="127"/>
      <c r="IF75" s="127"/>
      <c r="IG75" s="127"/>
      <c r="IH75" s="127"/>
      <c r="II75" s="127"/>
      <c r="IJ75" s="127"/>
      <c r="IK75" s="127"/>
      <c r="IL75" s="127"/>
      <c r="IM75" s="127"/>
      <c r="IN75" s="127"/>
      <c r="IO75" s="127"/>
      <c r="IP75" s="127"/>
      <c r="IQ75" s="127"/>
      <c r="IR75" s="127"/>
      <c r="IS75" s="127"/>
      <c r="IT75" s="127"/>
      <c r="IU75" s="127"/>
      <c r="IV75" s="127"/>
    </row>
    <row r="76" spans="1:256" ht="25.5" x14ac:dyDescent="0.2">
      <c r="A76" s="129"/>
      <c r="B76" s="129"/>
      <c r="C76" s="409" t="s">
        <v>481</v>
      </c>
      <c r="D76" s="636">
        <v>163639</v>
      </c>
      <c r="E76" s="418">
        <f>0+[1]táj.1!E76</f>
        <v>0</v>
      </c>
      <c r="F76" s="418">
        <f>0+[1]táj.1!F76</f>
        <v>0</v>
      </c>
      <c r="G76" s="418">
        <f>0+[1]táj.1!G76</f>
        <v>0</v>
      </c>
      <c r="H76" s="418">
        <f>0+[1]táj.1!H76</f>
        <v>0</v>
      </c>
      <c r="I76" s="418">
        <f>0+[1]táj.1!I76</f>
        <v>0</v>
      </c>
      <c r="J76" s="418">
        <f>0+[1]táj.1!J76</f>
        <v>0</v>
      </c>
      <c r="K76" s="418">
        <f>0+[1]táj.1!K76</f>
        <v>0</v>
      </c>
      <c r="L76" s="418">
        <f>54888+[1]táj.1!L76</f>
        <v>54888</v>
      </c>
      <c r="M76" s="418">
        <f>244141+[1]táj.1!M76</f>
        <v>244141</v>
      </c>
      <c r="N76" s="418">
        <f>0+[1]táj.1!N76</f>
        <v>0</v>
      </c>
      <c r="O76" s="390">
        <f t="shared" si="3"/>
        <v>299029</v>
      </c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  <c r="HQ76" s="127"/>
      <c r="HR76" s="127"/>
      <c r="HS76" s="127"/>
      <c r="HT76" s="127"/>
      <c r="HU76" s="127"/>
      <c r="HV76" s="127"/>
      <c r="HW76" s="127"/>
      <c r="HX76" s="127"/>
      <c r="HY76" s="127"/>
      <c r="HZ76" s="127"/>
      <c r="IA76" s="127"/>
      <c r="IB76" s="127"/>
      <c r="IC76" s="127"/>
      <c r="ID76" s="127"/>
      <c r="IE76" s="127"/>
      <c r="IF76" s="127"/>
      <c r="IG76" s="127"/>
      <c r="IH76" s="127"/>
      <c r="II76" s="127"/>
      <c r="IJ76" s="127"/>
      <c r="IK76" s="127"/>
      <c r="IL76" s="127"/>
      <c r="IM76" s="127"/>
      <c r="IN76" s="127"/>
      <c r="IO76" s="127"/>
      <c r="IP76" s="127"/>
      <c r="IQ76" s="127"/>
      <c r="IR76" s="127"/>
      <c r="IS76" s="127"/>
      <c r="IT76" s="127"/>
      <c r="IU76" s="127"/>
      <c r="IV76" s="127"/>
    </row>
    <row r="77" spans="1:256" ht="25.5" x14ac:dyDescent="0.2">
      <c r="A77" s="129"/>
      <c r="B77" s="129"/>
      <c r="C77" s="409" t="s">
        <v>482</v>
      </c>
      <c r="D77" s="636">
        <v>163640</v>
      </c>
      <c r="E77" s="418">
        <f>0+[1]táj.1!E77</f>
        <v>0</v>
      </c>
      <c r="F77" s="418">
        <f>49333+[1]táj.1!F77</f>
        <v>49333</v>
      </c>
      <c r="G77" s="418">
        <f>0+[1]táj.1!G77</f>
        <v>0</v>
      </c>
      <c r="H77" s="418">
        <f>0+[1]táj.1!H77</f>
        <v>0</v>
      </c>
      <c r="I77" s="418">
        <f>0+[1]táj.1!I77</f>
        <v>0</v>
      </c>
      <c r="J77" s="418">
        <f>0+[1]táj.1!J77</f>
        <v>0</v>
      </c>
      <c r="K77" s="418">
        <f>0+[1]táj.1!K77</f>
        <v>0</v>
      </c>
      <c r="L77" s="418">
        <f>0+[1]táj.1!L77</f>
        <v>0</v>
      </c>
      <c r="M77" s="418">
        <f>80153+[1]táj.1!M77</f>
        <v>80153</v>
      </c>
      <c r="N77" s="418">
        <f>0+[1]táj.1!N77</f>
        <v>0</v>
      </c>
      <c r="O77" s="390">
        <f t="shared" si="3"/>
        <v>129486</v>
      </c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  <c r="HQ77" s="127"/>
      <c r="HR77" s="127"/>
      <c r="HS77" s="127"/>
      <c r="HT77" s="127"/>
      <c r="HU77" s="127"/>
      <c r="HV77" s="127"/>
      <c r="HW77" s="127"/>
      <c r="HX77" s="127"/>
      <c r="HY77" s="127"/>
      <c r="HZ77" s="127"/>
      <c r="IA77" s="127"/>
      <c r="IB77" s="127"/>
      <c r="IC77" s="127"/>
      <c r="ID77" s="127"/>
      <c r="IE77" s="127"/>
      <c r="IF77" s="127"/>
      <c r="IG77" s="127"/>
      <c r="IH77" s="127"/>
      <c r="II77" s="127"/>
      <c r="IJ77" s="127"/>
      <c r="IK77" s="127"/>
      <c r="IL77" s="127"/>
      <c r="IM77" s="127"/>
      <c r="IN77" s="127"/>
      <c r="IO77" s="127"/>
      <c r="IP77" s="127"/>
      <c r="IQ77" s="127"/>
      <c r="IR77" s="127"/>
      <c r="IS77" s="127"/>
      <c r="IT77" s="127"/>
      <c r="IU77" s="127"/>
      <c r="IV77" s="127"/>
    </row>
    <row r="78" spans="1:256" ht="38.25" x14ac:dyDescent="0.2">
      <c r="A78" s="129"/>
      <c r="B78" s="129"/>
      <c r="C78" s="712" t="s">
        <v>483</v>
      </c>
      <c r="D78" s="636">
        <v>163621</v>
      </c>
      <c r="E78" s="418">
        <f>0+[1]táj.1!E78</f>
        <v>0</v>
      </c>
      <c r="F78" s="418">
        <f>1988270+[1]táj.1!F78</f>
        <v>1988270</v>
      </c>
      <c r="G78" s="418">
        <f>0+[1]táj.1!G78</f>
        <v>0</v>
      </c>
      <c r="H78" s="418">
        <f>541+[1]táj.1!H78</f>
        <v>541</v>
      </c>
      <c r="I78" s="418">
        <f>0+[1]táj.1!I78</f>
        <v>0</v>
      </c>
      <c r="J78" s="418">
        <f>0+[1]táj.1!J78</f>
        <v>0</v>
      </c>
      <c r="K78" s="418">
        <f>0+[1]táj.1!K78</f>
        <v>0</v>
      </c>
      <c r="L78" s="418">
        <f>0+[1]táj.1!L78</f>
        <v>0</v>
      </c>
      <c r="M78" s="418">
        <f>5961633+[1]táj.1!M78</f>
        <v>5961633</v>
      </c>
      <c r="N78" s="418">
        <f>3158730+[1]táj.1!N78</f>
        <v>3158730</v>
      </c>
      <c r="O78" s="390">
        <f t="shared" si="3"/>
        <v>11109174</v>
      </c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  <c r="HQ78" s="127"/>
      <c r="HR78" s="127"/>
      <c r="HS78" s="127"/>
      <c r="HT78" s="127"/>
      <c r="HU78" s="127"/>
      <c r="HV78" s="127"/>
      <c r="HW78" s="127"/>
      <c r="HX78" s="127"/>
      <c r="HY78" s="127"/>
      <c r="HZ78" s="127"/>
      <c r="IA78" s="127"/>
      <c r="IB78" s="127"/>
      <c r="IC78" s="127"/>
      <c r="ID78" s="127"/>
      <c r="IE78" s="127"/>
      <c r="IF78" s="127"/>
      <c r="IG78" s="127"/>
      <c r="IH78" s="127"/>
      <c r="II78" s="127"/>
      <c r="IJ78" s="127"/>
      <c r="IK78" s="127"/>
      <c r="IL78" s="127"/>
      <c r="IM78" s="127"/>
      <c r="IN78" s="127"/>
      <c r="IO78" s="127"/>
      <c r="IP78" s="127"/>
      <c r="IQ78" s="127"/>
      <c r="IR78" s="127"/>
      <c r="IS78" s="127"/>
      <c r="IT78" s="127"/>
      <c r="IU78" s="127"/>
      <c r="IV78" s="127"/>
    </row>
    <row r="79" spans="1:256" ht="25.5" x14ac:dyDescent="0.2">
      <c r="A79" s="129"/>
      <c r="B79" s="129"/>
      <c r="C79" s="718" t="s">
        <v>484</v>
      </c>
      <c r="D79" s="636">
        <v>162687</v>
      </c>
      <c r="E79" s="418">
        <f>0+[1]táj.1!E79</f>
        <v>0</v>
      </c>
      <c r="F79" s="418">
        <f>3995000+[1]táj.1!F79</f>
        <v>3995000</v>
      </c>
      <c r="G79" s="418">
        <f>0+[1]táj.1!G79</f>
        <v>0</v>
      </c>
      <c r="H79" s="418">
        <f>2288640+[1]táj.1!H79</f>
        <v>2288640</v>
      </c>
      <c r="I79" s="418">
        <f>0+[1]táj.1!I79</f>
        <v>0</v>
      </c>
      <c r="J79" s="418">
        <f>0+[1]táj.1!J79</f>
        <v>0</v>
      </c>
      <c r="K79" s="418">
        <f>0+[1]táj.1!K79</f>
        <v>0</v>
      </c>
      <c r="L79" s="418">
        <f>0+[1]táj.1!L79</f>
        <v>0</v>
      </c>
      <c r="M79" s="418">
        <f>727255+[1]táj.1!M79</f>
        <v>727255</v>
      </c>
      <c r="N79" s="418">
        <f>3754190+[1]táj.1!N79</f>
        <v>3754190</v>
      </c>
      <c r="O79" s="390">
        <f t="shared" si="3"/>
        <v>10765085</v>
      </c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  <c r="HQ79" s="127"/>
      <c r="HR79" s="127"/>
      <c r="HS79" s="127"/>
      <c r="HT79" s="127"/>
      <c r="HU79" s="127"/>
      <c r="HV79" s="127"/>
      <c r="HW79" s="127"/>
      <c r="HX79" s="127"/>
      <c r="HY79" s="127"/>
      <c r="HZ79" s="127"/>
      <c r="IA79" s="127"/>
      <c r="IB79" s="127"/>
      <c r="IC79" s="127"/>
      <c r="ID79" s="127"/>
      <c r="IE79" s="127"/>
      <c r="IF79" s="127"/>
      <c r="IG79" s="127"/>
      <c r="IH79" s="127"/>
      <c r="II79" s="127"/>
      <c r="IJ79" s="127"/>
      <c r="IK79" s="127"/>
      <c r="IL79" s="127"/>
      <c r="IM79" s="127"/>
      <c r="IN79" s="127"/>
      <c r="IO79" s="127"/>
      <c r="IP79" s="127"/>
      <c r="IQ79" s="127"/>
      <c r="IR79" s="127"/>
      <c r="IS79" s="127"/>
      <c r="IT79" s="127"/>
      <c r="IU79" s="127"/>
      <c r="IV79" s="127"/>
    </row>
    <row r="80" spans="1:256" ht="25.5" x14ac:dyDescent="0.2">
      <c r="A80" s="129"/>
      <c r="B80" s="129"/>
      <c r="C80" s="412" t="s">
        <v>485</v>
      </c>
      <c r="D80" s="636">
        <v>163702</v>
      </c>
      <c r="E80" s="418">
        <f>0+[1]táj.1!E80</f>
        <v>0</v>
      </c>
      <c r="F80" s="418">
        <f>0+[1]táj.1!F80</f>
        <v>0</v>
      </c>
      <c r="G80" s="418">
        <f>0+[1]táj.1!G80</f>
        <v>0</v>
      </c>
      <c r="H80" s="418">
        <f>302994+[1]táj.1!H80</f>
        <v>302994</v>
      </c>
      <c r="I80" s="418">
        <f>0+[1]táj.1!I80</f>
        <v>0</v>
      </c>
      <c r="J80" s="418">
        <f>0+[1]táj.1!J80</f>
        <v>0</v>
      </c>
      <c r="K80" s="418">
        <f>0+[1]táj.1!K80</f>
        <v>0</v>
      </c>
      <c r="L80" s="418">
        <f>0+[1]táj.1!L80</f>
        <v>0</v>
      </c>
      <c r="M80" s="418">
        <f>74260+[1]táj.1!M80</f>
        <v>74260</v>
      </c>
      <c r="N80" s="418">
        <f>1199580+[1]táj.1!N80</f>
        <v>1199580</v>
      </c>
      <c r="O80" s="390">
        <f t="shared" si="3"/>
        <v>1576834</v>
      </c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127"/>
      <c r="FF80" s="127"/>
      <c r="FG80" s="127"/>
      <c r="FH80" s="127"/>
      <c r="FI80" s="127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27"/>
      <c r="FX80" s="127"/>
      <c r="FY80" s="127"/>
      <c r="FZ80" s="127"/>
      <c r="GA80" s="127"/>
      <c r="GB80" s="127"/>
      <c r="GC80" s="127"/>
      <c r="GD80" s="127"/>
      <c r="GE80" s="127"/>
      <c r="GF80" s="127"/>
      <c r="GG80" s="127"/>
      <c r="GH80" s="127"/>
      <c r="GI80" s="127"/>
      <c r="GJ80" s="127"/>
      <c r="GK80" s="127"/>
      <c r="GL80" s="127"/>
      <c r="GM80" s="127"/>
      <c r="GN80" s="127"/>
      <c r="GO80" s="127"/>
      <c r="GP80" s="127"/>
      <c r="GQ80" s="127"/>
      <c r="GR80" s="127"/>
      <c r="GS80" s="127"/>
      <c r="GT80" s="127"/>
      <c r="GU80" s="127"/>
      <c r="GV80" s="127"/>
      <c r="GW80" s="127"/>
      <c r="GX80" s="127"/>
      <c r="GY80" s="127"/>
      <c r="GZ80" s="127"/>
      <c r="HA80" s="127"/>
      <c r="HB80" s="127"/>
      <c r="HC80" s="127"/>
      <c r="HD80" s="127"/>
      <c r="HE80" s="127"/>
      <c r="HF80" s="127"/>
      <c r="HG80" s="127"/>
      <c r="HH80" s="127"/>
      <c r="HI80" s="127"/>
      <c r="HJ80" s="127"/>
      <c r="HK80" s="127"/>
      <c r="HL80" s="127"/>
      <c r="HM80" s="127"/>
      <c r="HN80" s="127"/>
      <c r="HO80" s="127"/>
      <c r="HP80" s="127"/>
      <c r="HQ80" s="127"/>
      <c r="HR80" s="127"/>
      <c r="HS80" s="127"/>
      <c r="HT80" s="127"/>
      <c r="HU80" s="127"/>
      <c r="HV80" s="127"/>
      <c r="HW80" s="127"/>
      <c r="HX80" s="127"/>
      <c r="HY80" s="127"/>
      <c r="HZ80" s="127"/>
      <c r="IA80" s="127"/>
      <c r="IB80" s="127"/>
      <c r="IC80" s="127"/>
      <c r="ID80" s="127"/>
      <c r="IE80" s="127"/>
      <c r="IF80" s="127"/>
      <c r="IG80" s="127"/>
      <c r="IH80" s="127"/>
      <c r="II80" s="127"/>
      <c r="IJ80" s="127"/>
      <c r="IK80" s="127"/>
      <c r="IL80" s="127"/>
      <c r="IM80" s="127"/>
      <c r="IN80" s="127"/>
      <c r="IO80" s="127"/>
      <c r="IP80" s="127"/>
      <c r="IQ80" s="127"/>
      <c r="IR80" s="127"/>
      <c r="IS80" s="127"/>
      <c r="IT80" s="127"/>
      <c r="IU80" s="127"/>
      <c r="IV80" s="127"/>
    </row>
    <row r="81" spans="1:256" ht="25.5" x14ac:dyDescent="0.2">
      <c r="A81" s="129"/>
      <c r="B81" s="129"/>
      <c r="C81" s="412" t="s">
        <v>486</v>
      </c>
      <c r="D81" s="636">
        <v>162677</v>
      </c>
      <c r="E81" s="418">
        <f>0+[1]táj.1!E81</f>
        <v>0</v>
      </c>
      <c r="F81" s="418">
        <f>0+[1]táj.1!F81</f>
        <v>0</v>
      </c>
      <c r="G81" s="418">
        <f>0+[1]táj.1!G81</f>
        <v>0</v>
      </c>
      <c r="H81" s="418">
        <f>0+[1]táj.1!H81</f>
        <v>0</v>
      </c>
      <c r="I81" s="418">
        <f>0+[1]táj.1!I81</f>
        <v>0</v>
      </c>
      <c r="J81" s="418">
        <f>0+[1]táj.1!J81</f>
        <v>0</v>
      </c>
      <c r="K81" s="418">
        <f>0+[1]táj.1!K81</f>
        <v>0</v>
      </c>
      <c r="L81" s="418">
        <f>0+[1]táj.1!L81</f>
        <v>0</v>
      </c>
      <c r="M81" s="418">
        <f>65858+[1]táj.1!M81</f>
        <v>65858</v>
      </c>
      <c r="N81" s="418">
        <f>0+[1]táj.1!N81</f>
        <v>0</v>
      </c>
      <c r="O81" s="390">
        <f t="shared" si="3"/>
        <v>65858</v>
      </c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  <c r="EJ81" s="127"/>
      <c r="EK81" s="127"/>
      <c r="EL81" s="127"/>
      <c r="EM81" s="127"/>
      <c r="EN81" s="127"/>
      <c r="EO81" s="127"/>
      <c r="EP81" s="127"/>
      <c r="EQ81" s="127"/>
      <c r="ER81" s="127"/>
      <c r="ES81" s="127"/>
      <c r="ET81" s="127"/>
      <c r="EU81" s="127"/>
      <c r="EV81" s="127"/>
      <c r="EW81" s="127"/>
      <c r="EX81" s="127"/>
      <c r="EY81" s="127"/>
      <c r="EZ81" s="127"/>
      <c r="FA81" s="127"/>
      <c r="FB81" s="127"/>
      <c r="FC81" s="127"/>
      <c r="FD81" s="127"/>
      <c r="FE81" s="127"/>
      <c r="FF81" s="127"/>
      <c r="FG81" s="127"/>
      <c r="FH81" s="127"/>
      <c r="FI81" s="127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27"/>
      <c r="FX81" s="127"/>
      <c r="FY81" s="127"/>
      <c r="FZ81" s="127"/>
      <c r="GA81" s="127"/>
      <c r="GB81" s="127"/>
      <c r="GC81" s="127"/>
      <c r="GD81" s="127"/>
      <c r="GE81" s="127"/>
      <c r="GF81" s="127"/>
      <c r="GG81" s="127"/>
      <c r="GH81" s="127"/>
      <c r="GI81" s="127"/>
      <c r="GJ81" s="127"/>
      <c r="GK81" s="127"/>
      <c r="GL81" s="127"/>
      <c r="GM81" s="127"/>
      <c r="GN81" s="127"/>
      <c r="GO81" s="127"/>
      <c r="GP81" s="127"/>
      <c r="GQ81" s="127"/>
      <c r="GR81" s="127"/>
      <c r="GS81" s="127"/>
      <c r="GT81" s="127"/>
      <c r="GU81" s="127"/>
      <c r="GV81" s="127"/>
      <c r="GW81" s="127"/>
      <c r="GX81" s="127"/>
      <c r="GY81" s="127"/>
      <c r="GZ81" s="127"/>
      <c r="HA81" s="127"/>
      <c r="HB81" s="127"/>
      <c r="HC81" s="127"/>
      <c r="HD81" s="127"/>
      <c r="HE81" s="127"/>
      <c r="HF81" s="127"/>
      <c r="HG81" s="127"/>
      <c r="HH81" s="127"/>
      <c r="HI81" s="127"/>
      <c r="HJ81" s="127"/>
      <c r="HK81" s="127"/>
      <c r="HL81" s="127"/>
      <c r="HM81" s="127"/>
      <c r="HN81" s="127"/>
      <c r="HO81" s="127"/>
      <c r="HP81" s="127"/>
      <c r="HQ81" s="127"/>
      <c r="HR81" s="127"/>
      <c r="HS81" s="127"/>
      <c r="HT81" s="127"/>
      <c r="HU81" s="127"/>
      <c r="HV81" s="127"/>
      <c r="HW81" s="127"/>
      <c r="HX81" s="127"/>
      <c r="HY81" s="127"/>
      <c r="HZ81" s="127"/>
      <c r="IA81" s="127"/>
      <c r="IB81" s="127"/>
      <c r="IC81" s="127"/>
      <c r="ID81" s="127"/>
      <c r="IE81" s="127"/>
      <c r="IF81" s="127"/>
      <c r="IG81" s="127"/>
      <c r="IH81" s="127"/>
      <c r="II81" s="127"/>
      <c r="IJ81" s="127"/>
      <c r="IK81" s="127"/>
      <c r="IL81" s="127"/>
      <c r="IM81" s="127"/>
      <c r="IN81" s="127"/>
      <c r="IO81" s="127"/>
      <c r="IP81" s="127"/>
      <c r="IQ81" s="127"/>
      <c r="IR81" s="127"/>
      <c r="IS81" s="127"/>
      <c r="IT81" s="127"/>
      <c r="IU81" s="127"/>
      <c r="IV81" s="127"/>
    </row>
    <row r="82" spans="1:256" ht="25.5" x14ac:dyDescent="0.2">
      <c r="A82" s="129"/>
      <c r="B82" s="129"/>
      <c r="C82" s="412" t="s">
        <v>487</v>
      </c>
      <c r="D82" s="636">
        <v>163641</v>
      </c>
      <c r="E82" s="418">
        <f>0+[1]táj.1!E82</f>
        <v>0</v>
      </c>
      <c r="F82" s="418">
        <f>0+[1]táj.1!F82</f>
        <v>0</v>
      </c>
      <c r="G82" s="418">
        <f>0+[1]táj.1!G82</f>
        <v>0</v>
      </c>
      <c r="H82" s="418">
        <f>0+[1]táj.1!H82</f>
        <v>0</v>
      </c>
      <c r="I82" s="418">
        <f>0+[1]táj.1!I82</f>
        <v>0</v>
      </c>
      <c r="J82" s="418">
        <f>0+[1]táj.1!J82</f>
        <v>0</v>
      </c>
      <c r="K82" s="418">
        <f>0+[1]táj.1!K82</f>
        <v>0</v>
      </c>
      <c r="L82" s="418">
        <f>0+[1]táj.1!L82</f>
        <v>0</v>
      </c>
      <c r="M82" s="418">
        <f>255358+[1]táj.1!M82</f>
        <v>255358</v>
      </c>
      <c r="N82" s="418">
        <f>0+[1]táj.1!N82</f>
        <v>0</v>
      </c>
      <c r="O82" s="390">
        <f t="shared" si="3"/>
        <v>255358</v>
      </c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127"/>
      <c r="GX82" s="127"/>
      <c r="GY82" s="127"/>
      <c r="GZ82" s="127"/>
      <c r="HA82" s="127"/>
      <c r="HB82" s="127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127"/>
      <c r="HN82" s="127"/>
      <c r="HO82" s="127"/>
      <c r="HP82" s="127"/>
      <c r="HQ82" s="127"/>
      <c r="HR82" s="127"/>
      <c r="HS82" s="127"/>
      <c r="HT82" s="127"/>
      <c r="HU82" s="127"/>
      <c r="HV82" s="127"/>
      <c r="HW82" s="127"/>
      <c r="HX82" s="127"/>
      <c r="HY82" s="127"/>
      <c r="HZ82" s="127"/>
      <c r="IA82" s="127"/>
      <c r="IB82" s="127"/>
      <c r="IC82" s="127"/>
      <c r="ID82" s="127"/>
      <c r="IE82" s="127"/>
      <c r="IF82" s="127"/>
      <c r="IG82" s="127"/>
      <c r="IH82" s="127"/>
      <c r="II82" s="127"/>
      <c r="IJ82" s="127"/>
      <c r="IK82" s="127"/>
      <c r="IL82" s="127"/>
      <c r="IM82" s="127"/>
      <c r="IN82" s="127"/>
      <c r="IO82" s="127"/>
      <c r="IP82" s="127"/>
      <c r="IQ82" s="127"/>
      <c r="IR82" s="127"/>
      <c r="IS82" s="127"/>
      <c r="IT82" s="127"/>
      <c r="IU82" s="127"/>
      <c r="IV82" s="127"/>
    </row>
    <row r="83" spans="1:256" ht="25.5" x14ac:dyDescent="0.2">
      <c r="A83" s="129"/>
      <c r="B83" s="129"/>
      <c r="C83" s="429" t="s">
        <v>488</v>
      </c>
      <c r="D83" s="636">
        <v>163644</v>
      </c>
      <c r="E83" s="418">
        <f>0+[1]táj.1!E83</f>
        <v>0</v>
      </c>
      <c r="F83" s="418">
        <f>0+[1]táj.1!F83</f>
        <v>0</v>
      </c>
      <c r="G83" s="418">
        <f>0+[1]táj.1!G83</f>
        <v>0</v>
      </c>
      <c r="H83" s="418">
        <f>0+[1]táj.1!H83</f>
        <v>0</v>
      </c>
      <c r="I83" s="418">
        <f>0+[1]táj.1!I83</f>
        <v>0</v>
      </c>
      <c r="J83" s="418">
        <f>0+[1]táj.1!J83</f>
        <v>0</v>
      </c>
      <c r="K83" s="418">
        <f>0+[1]táj.1!K83</f>
        <v>0</v>
      </c>
      <c r="L83" s="418">
        <f>0+[1]táj.1!L83</f>
        <v>0</v>
      </c>
      <c r="M83" s="418">
        <f>713945+[1]táj.1!M83</f>
        <v>713945</v>
      </c>
      <c r="N83" s="418">
        <f>0+[1]táj.1!N83</f>
        <v>0</v>
      </c>
      <c r="O83" s="390">
        <f t="shared" si="3"/>
        <v>713945</v>
      </c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  <c r="HQ83" s="127"/>
      <c r="HR83" s="127"/>
      <c r="HS83" s="127"/>
      <c r="HT83" s="127"/>
      <c r="HU83" s="127"/>
      <c r="HV83" s="127"/>
      <c r="HW83" s="127"/>
      <c r="HX83" s="127"/>
      <c r="HY83" s="127"/>
      <c r="HZ83" s="127"/>
      <c r="IA83" s="127"/>
      <c r="IB83" s="127"/>
      <c r="IC83" s="127"/>
      <c r="ID83" s="127"/>
      <c r="IE83" s="127"/>
      <c r="IF83" s="127"/>
      <c r="IG83" s="127"/>
      <c r="IH83" s="127"/>
      <c r="II83" s="127"/>
      <c r="IJ83" s="127"/>
      <c r="IK83" s="127"/>
      <c r="IL83" s="127"/>
      <c r="IM83" s="127"/>
      <c r="IN83" s="127"/>
      <c r="IO83" s="127"/>
      <c r="IP83" s="127"/>
      <c r="IQ83" s="127"/>
      <c r="IR83" s="127"/>
      <c r="IS83" s="127"/>
      <c r="IT83" s="127"/>
      <c r="IU83" s="127"/>
      <c r="IV83" s="127"/>
    </row>
    <row r="84" spans="1:256" ht="25.5" x14ac:dyDescent="0.2">
      <c r="A84" s="129"/>
      <c r="B84" s="129"/>
      <c r="C84" s="412" t="s">
        <v>489</v>
      </c>
      <c r="D84" s="636">
        <v>163643</v>
      </c>
      <c r="E84" s="418">
        <f>0+[1]táj.1!E84</f>
        <v>0</v>
      </c>
      <c r="F84" s="418">
        <f>0+[1]táj.1!F84</f>
        <v>0</v>
      </c>
      <c r="G84" s="418">
        <f>0+[1]táj.1!G84</f>
        <v>0</v>
      </c>
      <c r="H84" s="418">
        <f>0+[1]táj.1!H84</f>
        <v>0</v>
      </c>
      <c r="I84" s="418">
        <f>0+[1]táj.1!I84</f>
        <v>0</v>
      </c>
      <c r="J84" s="418">
        <f>0+[1]táj.1!J84</f>
        <v>0</v>
      </c>
      <c r="K84" s="418">
        <f>0+[1]táj.1!K84</f>
        <v>0</v>
      </c>
      <c r="L84" s="418">
        <f>0+[1]táj.1!L84</f>
        <v>0</v>
      </c>
      <c r="M84" s="418">
        <f>4478+[1]táj.1!M84</f>
        <v>4478</v>
      </c>
      <c r="N84" s="418">
        <f>0+[1]táj.1!N84</f>
        <v>0</v>
      </c>
      <c r="O84" s="390">
        <f t="shared" si="3"/>
        <v>4478</v>
      </c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  <c r="HQ84" s="127"/>
      <c r="HR84" s="127"/>
      <c r="HS84" s="127"/>
      <c r="HT84" s="127"/>
      <c r="HU84" s="127"/>
      <c r="HV84" s="127"/>
      <c r="HW84" s="127"/>
      <c r="HX84" s="127"/>
      <c r="HY84" s="127"/>
      <c r="HZ84" s="127"/>
      <c r="IA84" s="127"/>
      <c r="IB84" s="127"/>
      <c r="IC84" s="127"/>
      <c r="ID84" s="127"/>
      <c r="IE84" s="127"/>
      <c r="IF84" s="127"/>
      <c r="IG84" s="127"/>
      <c r="IH84" s="127"/>
      <c r="II84" s="127"/>
      <c r="IJ84" s="127"/>
      <c r="IK84" s="127"/>
      <c r="IL84" s="127"/>
      <c r="IM84" s="127"/>
      <c r="IN84" s="127"/>
      <c r="IO84" s="127"/>
      <c r="IP84" s="127"/>
      <c r="IQ84" s="127"/>
      <c r="IR84" s="127"/>
      <c r="IS84" s="127"/>
      <c r="IT84" s="127"/>
      <c r="IU84" s="127"/>
      <c r="IV84" s="127"/>
    </row>
    <row r="85" spans="1:256" ht="51" x14ac:dyDescent="0.2">
      <c r="A85" s="129"/>
      <c r="B85" s="129"/>
      <c r="C85" s="412" t="s">
        <v>490</v>
      </c>
      <c r="D85" s="636">
        <v>163645</v>
      </c>
      <c r="E85" s="418">
        <f>0+[1]táj.1!E85</f>
        <v>0</v>
      </c>
      <c r="F85" s="418">
        <f>0+[1]táj.1!F85</f>
        <v>0</v>
      </c>
      <c r="G85" s="418">
        <f>0+[1]táj.1!G85</f>
        <v>0</v>
      </c>
      <c r="H85" s="418">
        <f>0+[1]táj.1!H85</f>
        <v>0</v>
      </c>
      <c r="I85" s="418">
        <f>0+[1]táj.1!I85</f>
        <v>0</v>
      </c>
      <c r="J85" s="418">
        <f>0+[1]táj.1!J85</f>
        <v>0</v>
      </c>
      <c r="K85" s="418">
        <f>0+[1]táj.1!K85</f>
        <v>0</v>
      </c>
      <c r="L85" s="418">
        <f>0+[1]táj.1!L85</f>
        <v>0</v>
      </c>
      <c r="M85" s="418">
        <f>19047+[1]táj.1!M85</f>
        <v>19047</v>
      </c>
      <c r="N85" s="418">
        <f>0+[1]táj.1!N85</f>
        <v>0</v>
      </c>
      <c r="O85" s="390">
        <f t="shared" si="3"/>
        <v>19047</v>
      </c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  <c r="HQ85" s="127"/>
      <c r="HR85" s="127"/>
      <c r="HS85" s="127"/>
      <c r="HT85" s="127"/>
      <c r="HU85" s="127"/>
      <c r="HV85" s="127"/>
      <c r="HW85" s="127"/>
      <c r="HX85" s="127"/>
      <c r="HY85" s="127"/>
      <c r="HZ85" s="127"/>
      <c r="IA85" s="127"/>
      <c r="IB85" s="127"/>
      <c r="IC85" s="127"/>
      <c r="ID85" s="127"/>
      <c r="IE85" s="127"/>
      <c r="IF85" s="127"/>
      <c r="IG85" s="127"/>
      <c r="IH85" s="127"/>
      <c r="II85" s="127"/>
      <c r="IJ85" s="127"/>
      <c r="IK85" s="127"/>
      <c r="IL85" s="127"/>
      <c r="IM85" s="127"/>
      <c r="IN85" s="127"/>
      <c r="IO85" s="127"/>
      <c r="IP85" s="127"/>
      <c r="IQ85" s="127"/>
      <c r="IR85" s="127"/>
      <c r="IS85" s="127"/>
      <c r="IT85" s="127"/>
      <c r="IU85" s="127"/>
      <c r="IV85" s="127"/>
    </row>
    <row r="86" spans="1:256" ht="38.25" x14ac:dyDescent="0.2">
      <c r="A86" s="129"/>
      <c r="B86" s="129"/>
      <c r="C86" s="406" t="s">
        <v>491</v>
      </c>
      <c r="D86" s="636">
        <v>182906</v>
      </c>
      <c r="E86" s="418">
        <f>0+[1]táj.1!E86</f>
        <v>0</v>
      </c>
      <c r="F86" s="418">
        <f>0+[1]táj.1!F86</f>
        <v>0</v>
      </c>
      <c r="G86" s="418">
        <f>0+[1]táj.1!G86</f>
        <v>0</v>
      </c>
      <c r="H86" s="418">
        <f>0+[1]táj.1!H86</f>
        <v>0</v>
      </c>
      <c r="I86" s="418">
        <f>0+[1]táj.1!I86</f>
        <v>0</v>
      </c>
      <c r="J86" s="418">
        <f>0+[1]táj.1!J86</f>
        <v>0</v>
      </c>
      <c r="K86" s="418">
        <f>0+[1]táj.1!K86</f>
        <v>0</v>
      </c>
      <c r="L86" s="418">
        <f>0+[1]táj.1!L86</f>
        <v>0</v>
      </c>
      <c r="M86" s="418">
        <f>29960+[1]táj.1!M86</f>
        <v>29960</v>
      </c>
      <c r="N86" s="418">
        <f>0+[1]táj.1!N86</f>
        <v>0</v>
      </c>
      <c r="O86" s="390">
        <f t="shared" si="3"/>
        <v>29960</v>
      </c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  <c r="HQ86" s="127"/>
      <c r="HR86" s="127"/>
      <c r="HS86" s="127"/>
      <c r="HT86" s="127"/>
      <c r="HU86" s="127"/>
      <c r="HV86" s="127"/>
      <c r="HW86" s="127"/>
      <c r="HX86" s="127"/>
      <c r="HY86" s="127"/>
      <c r="HZ86" s="127"/>
      <c r="IA86" s="127"/>
      <c r="IB86" s="127"/>
      <c r="IC86" s="127"/>
      <c r="ID86" s="127"/>
      <c r="IE86" s="127"/>
      <c r="IF86" s="127"/>
      <c r="IG86" s="127"/>
      <c r="IH86" s="127"/>
      <c r="II86" s="127"/>
      <c r="IJ86" s="127"/>
      <c r="IK86" s="127"/>
      <c r="IL86" s="127"/>
      <c r="IM86" s="127"/>
      <c r="IN86" s="127"/>
      <c r="IO86" s="127"/>
      <c r="IP86" s="127"/>
      <c r="IQ86" s="127"/>
      <c r="IR86" s="127"/>
      <c r="IS86" s="127"/>
      <c r="IT86" s="127"/>
      <c r="IU86" s="127"/>
      <c r="IV86" s="127"/>
    </row>
    <row r="87" spans="1:256" ht="25.5" x14ac:dyDescent="0.2">
      <c r="A87" s="129"/>
      <c r="B87" s="129"/>
      <c r="C87" s="430" t="s">
        <v>492</v>
      </c>
      <c r="D87" s="636">
        <v>162630</v>
      </c>
      <c r="E87" s="418">
        <f>0+[1]táj.1!E87</f>
        <v>0</v>
      </c>
      <c r="F87" s="418">
        <f>0+[1]táj.1!F87</f>
        <v>75038</v>
      </c>
      <c r="G87" s="418">
        <f>0+[1]táj.1!G87</f>
        <v>0</v>
      </c>
      <c r="H87" s="418">
        <f>0+[1]táj.1!H87</f>
        <v>0</v>
      </c>
      <c r="I87" s="418">
        <f>0+[1]táj.1!I87</f>
        <v>0</v>
      </c>
      <c r="J87" s="418">
        <f>0+[1]táj.1!J87</f>
        <v>0</v>
      </c>
      <c r="K87" s="418">
        <f>0+[1]táj.1!K87</f>
        <v>0</v>
      </c>
      <c r="L87" s="418">
        <f>0+[1]táj.1!L87</f>
        <v>0</v>
      </c>
      <c r="M87" s="418">
        <f>28051+[1]táj.1!M87</f>
        <v>28051</v>
      </c>
      <c r="N87" s="418">
        <f>207500+[1]táj.1!N87</f>
        <v>207500</v>
      </c>
      <c r="O87" s="390">
        <f t="shared" si="3"/>
        <v>310589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  <c r="HQ87" s="127"/>
      <c r="HR87" s="127"/>
      <c r="HS87" s="127"/>
      <c r="HT87" s="127"/>
      <c r="HU87" s="127"/>
      <c r="HV87" s="127"/>
      <c r="HW87" s="127"/>
      <c r="HX87" s="127"/>
      <c r="HY87" s="127"/>
      <c r="HZ87" s="127"/>
      <c r="IA87" s="127"/>
      <c r="IB87" s="127"/>
      <c r="IC87" s="127"/>
      <c r="ID87" s="127"/>
      <c r="IE87" s="127"/>
      <c r="IF87" s="127"/>
      <c r="IG87" s="127"/>
      <c r="IH87" s="127"/>
      <c r="II87" s="127"/>
      <c r="IJ87" s="127"/>
      <c r="IK87" s="127"/>
      <c r="IL87" s="127"/>
      <c r="IM87" s="127"/>
      <c r="IN87" s="127"/>
      <c r="IO87" s="127"/>
      <c r="IP87" s="127"/>
      <c r="IQ87" s="127"/>
      <c r="IR87" s="127"/>
      <c r="IS87" s="127"/>
      <c r="IT87" s="127"/>
      <c r="IU87" s="127"/>
      <c r="IV87" s="127"/>
    </row>
    <row r="88" spans="1:256" x14ac:dyDescent="0.2">
      <c r="A88" s="129"/>
      <c r="B88" s="129"/>
      <c r="C88" s="719" t="s">
        <v>1494</v>
      </c>
      <c r="D88" s="424">
        <v>162964</v>
      </c>
      <c r="E88" s="418">
        <f>0+[1]táj.1!E88</f>
        <v>0</v>
      </c>
      <c r="F88" s="418">
        <f>0+[1]táj.1!F88</f>
        <v>0</v>
      </c>
      <c r="G88" s="418">
        <f>0+[1]táj.1!G88</f>
        <v>0</v>
      </c>
      <c r="H88" s="418">
        <f>0+[1]táj.1!H88</f>
        <v>0</v>
      </c>
      <c r="I88" s="418">
        <f>0+[1]táj.1!I88</f>
        <v>0</v>
      </c>
      <c r="J88" s="418">
        <f>0+[1]táj.1!J88</f>
        <v>0</v>
      </c>
      <c r="K88" s="418">
        <f>0+[1]táj.1!K88</f>
        <v>1000</v>
      </c>
      <c r="L88" s="418">
        <f>0+[1]táj.1!L88</f>
        <v>0</v>
      </c>
      <c r="M88" s="418">
        <f>0+[1]táj.1!M88</f>
        <v>0</v>
      </c>
      <c r="N88" s="418">
        <f>0+[1]táj.1!N88</f>
        <v>0</v>
      </c>
      <c r="O88" s="390">
        <f t="shared" si="3"/>
        <v>1000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  <c r="HQ88" s="127"/>
      <c r="HR88" s="127"/>
      <c r="HS88" s="127"/>
      <c r="HT88" s="127"/>
      <c r="HU88" s="127"/>
      <c r="HV88" s="127"/>
      <c r="HW88" s="127"/>
      <c r="HX88" s="127"/>
      <c r="HY88" s="127"/>
      <c r="HZ88" s="127"/>
      <c r="IA88" s="127"/>
      <c r="IB88" s="127"/>
      <c r="IC88" s="127"/>
      <c r="ID88" s="127"/>
      <c r="IE88" s="127"/>
      <c r="IF88" s="127"/>
      <c r="IG88" s="127"/>
      <c r="IH88" s="127"/>
      <c r="II88" s="127"/>
      <c r="IJ88" s="127"/>
      <c r="IK88" s="127"/>
      <c r="IL88" s="127"/>
      <c r="IM88" s="127"/>
      <c r="IN88" s="127"/>
      <c r="IO88" s="127"/>
      <c r="IP88" s="127"/>
      <c r="IQ88" s="127"/>
      <c r="IR88" s="127"/>
      <c r="IS88" s="127"/>
      <c r="IT88" s="127"/>
      <c r="IU88" s="127"/>
      <c r="IV88" s="127"/>
    </row>
    <row r="89" spans="1:256" ht="13.5" x14ac:dyDescent="0.2">
      <c r="A89" s="133"/>
      <c r="B89" s="133"/>
      <c r="C89" s="419" t="s">
        <v>493</v>
      </c>
      <c r="D89" s="431"/>
      <c r="E89" s="396">
        <f t="shared" ref="E89:O89" si="4">SUM(E38:E88)</f>
        <v>125235</v>
      </c>
      <c r="F89" s="396">
        <f t="shared" si="4"/>
        <v>9408095</v>
      </c>
      <c r="G89" s="396">
        <f t="shared" si="4"/>
        <v>0</v>
      </c>
      <c r="H89" s="396">
        <f t="shared" si="4"/>
        <v>4563836</v>
      </c>
      <c r="I89" s="396">
        <f t="shared" si="4"/>
        <v>0</v>
      </c>
      <c r="J89" s="396">
        <f t="shared" si="4"/>
        <v>0</v>
      </c>
      <c r="K89" s="396">
        <f t="shared" si="4"/>
        <v>1000</v>
      </c>
      <c r="L89" s="396">
        <f t="shared" si="4"/>
        <v>132076</v>
      </c>
      <c r="M89" s="396">
        <f t="shared" si="4"/>
        <v>15263430</v>
      </c>
      <c r="N89" s="396">
        <f t="shared" si="4"/>
        <v>8320000</v>
      </c>
      <c r="O89" s="396">
        <f t="shared" si="4"/>
        <v>37813672</v>
      </c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  <c r="HQ89" s="127"/>
      <c r="HR89" s="127"/>
      <c r="HS89" s="127"/>
      <c r="HT89" s="127"/>
      <c r="HU89" s="127"/>
      <c r="HV89" s="127"/>
      <c r="HW89" s="127"/>
      <c r="HX89" s="127"/>
      <c r="HY89" s="127"/>
      <c r="HZ89" s="127"/>
      <c r="IA89" s="127"/>
      <c r="IB89" s="127"/>
      <c r="IC89" s="127"/>
      <c r="ID89" s="127"/>
      <c r="IE89" s="127"/>
      <c r="IF89" s="127"/>
      <c r="IG89" s="127"/>
      <c r="IH89" s="127"/>
      <c r="II89" s="127"/>
      <c r="IJ89" s="127"/>
      <c r="IK89" s="127"/>
      <c r="IL89" s="127"/>
      <c r="IM89" s="127"/>
      <c r="IN89" s="127"/>
      <c r="IO89" s="127"/>
      <c r="IP89" s="127"/>
      <c r="IQ89" s="127"/>
      <c r="IR89" s="127"/>
      <c r="IS89" s="127"/>
      <c r="IT89" s="127"/>
      <c r="IU89" s="127"/>
      <c r="IV89" s="127"/>
    </row>
    <row r="90" spans="1:256" ht="13.5" x14ac:dyDescent="0.2">
      <c r="A90" s="129">
        <v>1</v>
      </c>
      <c r="B90" s="129">
        <v>17</v>
      </c>
      <c r="C90" s="384" t="s">
        <v>257</v>
      </c>
      <c r="D90" s="385"/>
      <c r="E90" s="390"/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  <c r="HQ90" s="127"/>
      <c r="HR90" s="127"/>
      <c r="HS90" s="127"/>
      <c r="HT90" s="127"/>
      <c r="HU90" s="127"/>
      <c r="HV90" s="127"/>
      <c r="HW90" s="127"/>
      <c r="HX90" s="127"/>
      <c r="HY90" s="127"/>
      <c r="HZ90" s="127"/>
      <c r="IA90" s="127"/>
      <c r="IB90" s="127"/>
      <c r="IC90" s="127"/>
      <c r="ID90" s="127"/>
      <c r="IE90" s="127"/>
      <c r="IF90" s="127"/>
      <c r="IG90" s="127"/>
      <c r="IH90" s="127"/>
      <c r="II90" s="127"/>
      <c r="IJ90" s="127"/>
      <c r="IK90" s="127"/>
      <c r="IL90" s="127"/>
      <c r="IM90" s="127"/>
      <c r="IN90" s="127"/>
      <c r="IO90" s="127"/>
      <c r="IP90" s="127"/>
      <c r="IQ90" s="127"/>
      <c r="IR90" s="127"/>
      <c r="IS90" s="127"/>
      <c r="IT90" s="127"/>
      <c r="IU90" s="127"/>
      <c r="IV90" s="127"/>
    </row>
    <row r="91" spans="1:256" ht="25.5" x14ac:dyDescent="0.2">
      <c r="A91" s="129"/>
      <c r="B91" s="129"/>
      <c r="C91" s="406" t="s">
        <v>451</v>
      </c>
      <c r="D91" s="421"/>
      <c r="E91" s="397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  <c r="HQ91" s="127"/>
      <c r="HR91" s="127"/>
      <c r="HS91" s="127"/>
      <c r="HT91" s="127"/>
      <c r="HU91" s="127"/>
      <c r="HV91" s="127"/>
      <c r="HW91" s="127"/>
      <c r="HX91" s="127"/>
      <c r="HY91" s="127"/>
      <c r="HZ91" s="127"/>
      <c r="IA91" s="127"/>
      <c r="IB91" s="127"/>
      <c r="IC91" s="127"/>
      <c r="ID91" s="127"/>
      <c r="IE91" s="127"/>
      <c r="IF91" s="127"/>
      <c r="IG91" s="127"/>
      <c r="IH91" s="127"/>
      <c r="II91" s="127"/>
      <c r="IJ91" s="127"/>
      <c r="IK91" s="127"/>
      <c r="IL91" s="127"/>
      <c r="IM91" s="127"/>
      <c r="IN91" s="127"/>
      <c r="IO91" s="127"/>
      <c r="IP91" s="127"/>
      <c r="IQ91" s="127"/>
      <c r="IR91" s="127"/>
      <c r="IS91" s="127"/>
      <c r="IT91" s="127"/>
      <c r="IU91" s="127"/>
      <c r="IV91" s="127"/>
    </row>
    <row r="92" spans="1:256" x14ac:dyDescent="0.2">
      <c r="A92" s="129"/>
      <c r="B92" s="129"/>
      <c r="C92" s="393" t="s">
        <v>494</v>
      </c>
      <c r="D92" s="432">
        <v>171907</v>
      </c>
      <c r="E92" s="390">
        <f>0+[1]táj.1!E92</f>
        <v>0</v>
      </c>
      <c r="F92" s="390">
        <f>0+[1]táj.1!F92</f>
        <v>0</v>
      </c>
      <c r="G92" s="390">
        <f>0+[1]táj.1!G92</f>
        <v>0</v>
      </c>
      <c r="H92" s="390">
        <f>0+[1]táj.1!H92</f>
        <v>0</v>
      </c>
      <c r="I92" s="390">
        <f>76000+[1]táj.1!I92</f>
        <v>76000</v>
      </c>
      <c r="J92" s="390">
        <f>0+[1]táj.1!J92</f>
        <v>0</v>
      </c>
      <c r="K92" s="390">
        <f>0+[1]táj.1!K92</f>
        <v>0</v>
      </c>
      <c r="L92" s="390">
        <f>0+[1]táj.1!L92</f>
        <v>0</v>
      </c>
      <c r="M92" s="390">
        <f>0+[1]táj.1!M92</f>
        <v>0</v>
      </c>
      <c r="N92" s="390">
        <f>0+[1]táj.1!N92</f>
        <v>0</v>
      </c>
      <c r="O92" s="390">
        <f>SUM(E92:N92)</f>
        <v>76000</v>
      </c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  <c r="HQ92" s="127"/>
      <c r="HR92" s="127"/>
      <c r="HS92" s="127"/>
      <c r="HT92" s="127"/>
      <c r="HU92" s="127"/>
      <c r="HV92" s="127"/>
      <c r="HW92" s="127"/>
      <c r="HX92" s="127"/>
      <c r="HY92" s="127"/>
      <c r="HZ92" s="127"/>
      <c r="IA92" s="127"/>
      <c r="IB92" s="127"/>
      <c r="IC92" s="127"/>
      <c r="ID92" s="127"/>
      <c r="IE92" s="127"/>
      <c r="IF92" s="127"/>
      <c r="IG92" s="127"/>
      <c r="IH92" s="127"/>
      <c r="II92" s="127"/>
      <c r="IJ92" s="127"/>
      <c r="IK92" s="127"/>
      <c r="IL92" s="127"/>
      <c r="IM92" s="127"/>
      <c r="IN92" s="127"/>
      <c r="IO92" s="127"/>
      <c r="IP92" s="127"/>
      <c r="IQ92" s="127"/>
      <c r="IR92" s="127"/>
      <c r="IS92" s="127"/>
      <c r="IT92" s="127"/>
      <c r="IU92" s="127"/>
      <c r="IV92" s="127"/>
    </row>
    <row r="93" spans="1:256" ht="25.5" x14ac:dyDescent="0.2">
      <c r="A93" s="129"/>
      <c r="B93" s="129"/>
      <c r="C93" s="391" t="s">
        <v>495</v>
      </c>
      <c r="D93" s="433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  <c r="HQ93" s="127"/>
      <c r="HR93" s="127"/>
      <c r="HS93" s="127"/>
      <c r="HT93" s="127"/>
      <c r="HU93" s="127"/>
      <c r="HV93" s="127"/>
      <c r="HW93" s="127"/>
      <c r="HX93" s="127"/>
      <c r="HY93" s="127"/>
      <c r="HZ93" s="127"/>
      <c r="IA93" s="127"/>
      <c r="IB93" s="127"/>
      <c r="IC93" s="127"/>
      <c r="ID93" s="127"/>
      <c r="IE93" s="127"/>
      <c r="IF93" s="127"/>
      <c r="IG93" s="127"/>
      <c r="IH93" s="127"/>
      <c r="II93" s="127"/>
      <c r="IJ93" s="127"/>
      <c r="IK93" s="127"/>
      <c r="IL93" s="127"/>
      <c r="IM93" s="127"/>
      <c r="IN93" s="127"/>
      <c r="IO93" s="127"/>
      <c r="IP93" s="127"/>
      <c r="IQ93" s="127"/>
      <c r="IR93" s="127"/>
      <c r="IS93" s="127"/>
      <c r="IT93" s="127"/>
      <c r="IU93" s="127"/>
      <c r="IV93" s="127"/>
    </row>
    <row r="94" spans="1:256" x14ac:dyDescent="0.2">
      <c r="A94" s="129"/>
      <c r="B94" s="129"/>
      <c r="C94" s="434" t="s">
        <v>496</v>
      </c>
      <c r="D94" s="435">
        <v>171980</v>
      </c>
      <c r="E94" s="390">
        <f>0+[1]táj.1!E94</f>
        <v>0</v>
      </c>
      <c r="F94" s="390">
        <f>0+[1]táj.1!F94</f>
        <v>0</v>
      </c>
      <c r="G94" s="390">
        <f>0+[1]táj.1!G94</f>
        <v>0</v>
      </c>
      <c r="H94" s="390">
        <f>38100+[1]táj.1!H94</f>
        <v>38100</v>
      </c>
      <c r="I94" s="390">
        <f>0+[1]táj.1!I94</f>
        <v>0</v>
      </c>
      <c r="J94" s="390">
        <f>0+[1]táj.1!J94</f>
        <v>0</v>
      </c>
      <c r="K94" s="390">
        <f>0+[1]táj.1!K94</f>
        <v>0</v>
      </c>
      <c r="L94" s="390">
        <f>0+[1]táj.1!L94</f>
        <v>0</v>
      </c>
      <c r="M94" s="390">
        <f>0+[1]táj.1!M94</f>
        <v>0</v>
      </c>
      <c r="N94" s="390">
        <f>0+[1]táj.1!N94</f>
        <v>0</v>
      </c>
      <c r="O94" s="390">
        <f>SUM(E94:N94)</f>
        <v>38100</v>
      </c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  <c r="HQ94" s="127"/>
      <c r="HR94" s="127"/>
      <c r="HS94" s="127"/>
      <c r="HT94" s="127"/>
      <c r="HU94" s="127"/>
      <c r="HV94" s="127"/>
      <c r="HW94" s="127"/>
      <c r="HX94" s="127"/>
      <c r="HY94" s="127"/>
      <c r="HZ94" s="127"/>
      <c r="IA94" s="127"/>
      <c r="IB94" s="127"/>
      <c r="IC94" s="127"/>
      <c r="ID94" s="127"/>
      <c r="IE94" s="127"/>
      <c r="IF94" s="127"/>
      <c r="IG94" s="127"/>
      <c r="IH94" s="127"/>
      <c r="II94" s="127"/>
      <c r="IJ94" s="127"/>
      <c r="IK94" s="127"/>
      <c r="IL94" s="127"/>
      <c r="IM94" s="127"/>
      <c r="IN94" s="127"/>
      <c r="IO94" s="127"/>
      <c r="IP94" s="127"/>
      <c r="IQ94" s="127"/>
      <c r="IR94" s="127"/>
      <c r="IS94" s="127"/>
      <c r="IT94" s="127"/>
      <c r="IU94" s="127"/>
      <c r="IV94" s="127"/>
    </row>
    <row r="95" spans="1:256" ht="25.5" x14ac:dyDescent="0.2">
      <c r="A95" s="720"/>
      <c r="B95" s="720"/>
      <c r="C95" s="406" t="s">
        <v>451</v>
      </c>
      <c r="D95" s="421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  <c r="HQ95" s="127"/>
      <c r="HR95" s="127"/>
      <c r="HS95" s="127"/>
      <c r="HT95" s="127"/>
      <c r="HU95" s="127"/>
      <c r="HV95" s="127"/>
      <c r="HW95" s="127"/>
      <c r="HX95" s="127"/>
      <c r="HY95" s="127"/>
      <c r="HZ95" s="127"/>
      <c r="IA95" s="127"/>
      <c r="IB95" s="127"/>
      <c r="IC95" s="127"/>
      <c r="ID95" s="127"/>
      <c r="IE95" s="127"/>
      <c r="IF95" s="127"/>
      <c r="IG95" s="127"/>
      <c r="IH95" s="127"/>
      <c r="II95" s="127"/>
      <c r="IJ95" s="127"/>
      <c r="IK95" s="127"/>
      <c r="IL95" s="127"/>
      <c r="IM95" s="127"/>
      <c r="IN95" s="127"/>
      <c r="IO95" s="127"/>
      <c r="IP95" s="127"/>
      <c r="IQ95" s="127"/>
      <c r="IR95" s="127"/>
      <c r="IS95" s="127"/>
      <c r="IT95" s="127"/>
      <c r="IU95" s="127"/>
      <c r="IV95" s="127"/>
    </row>
    <row r="96" spans="1:256" ht="25.5" x14ac:dyDescent="0.2">
      <c r="A96" s="129"/>
      <c r="B96" s="129"/>
      <c r="C96" s="436" t="s">
        <v>497</v>
      </c>
      <c r="D96" s="432">
        <v>171905</v>
      </c>
      <c r="E96" s="390">
        <f>0+[1]táj.1!E96</f>
        <v>0</v>
      </c>
      <c r="F96" s="390">
        <f>0+[1]táj.1!F96</f>
        <v>0</v>
      </c>
      <c r="G96" s="390">
        <f>0+[1]táj.1!G96</f>
        <v>0</v>
      </c>
      <c r="H96" s="390">
        <f>71755+[1]táj.1!H96</f>
        <v>71755</v>
      </c>
      <c r="I96" s="390">
        <f>0+[1]táj.1!I96</f>
        <v>0</v>
      </c>
      <c r="J96" s="390">
        <f>0+[1]táj.1!J96</f>
        <v>0</v>
      </c>
      <c r="K96" s="390">
        <f>0+[1]táj.1!K96</f>
        <v>0</v>
      </c>
      <c r="L96" s="390">
        <f>0+[1]táj.1!L96</f>
        <v>0</v>
      </c>
      <c r="M96" s="390">
        <f>0+[1]táj.1!M96</f>
        <v>0</v>
      </c>
      <c r="N96" s="390">
        <f>0+[1]táj.1!N96</f>
        <v>0</v>
      </c>
      <c r="O96" s="390">
        <f t="shared" ref="O96:O104" si="5">SUM(E96:N96)</f>
        <v>71755</v>
      </c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  <c r="HT96" s="127"/>
      <c r="HU96" s="127"/>
      <c r="HV96" s="127"/>
      <c r="HW96" s="127"/>
      <c r="HX96" s="127"/>
      <c r="HY96" s="127"/>
      <c r="HZ96" s="127"/>
      <c r="IA96" s="127"/>
      <c r="IB96" s="127"/>
      <c r="IC96" s="127"/>
      <c r="ID96" s="127"/>
      <c r="IE96" s="127"/>
      <c r="IF96" s="127"/>
      <c r="IG96" s="127"/>
      <c r="IH96" s="127"/>
      <c r="II96" s="127"/>
      <c r="IJ96" s="127"/>
      <c r="IK96" s="127"/>
      <c r="IL96" s="127"/>
      <c r="IM96" s="127"/>
      <c r="IN96" s="127"/>
      <c r="IO96" s="127"/>
      <c r="IP96" s="127"/>
      <c r="IQ96" s="127"/>
      <c r="IR96" s="127"/>
      <c r="IS96" s="127"/>
      <c r="IT96" s="127"/>
      <c r="IU96" s="127"/>
      <c r="IV96" s="127"/>
    </row>
    <row r="97" spans="1:256" x14ac:dyDescent="0.2">
      <c r="A97" s="128"/>
      <c r="B97" s="128"/>
      <c r="C97" s="437" t="s">
        <v>498</v>
      </c>
      <c r="D97" s="432">
        <v>171909</v>
      </c>
      <c r="E97" s="390">
        <f>0+[1]táj.1!E97</f>
        <v>0</v>
      </c>
      <c r="F97" s="390">
        <f>0+[1]táj.1!F97</f>
        <v>0</v>
      </c>
      <c r="G97" s="390">
        <f>0+[1]táj.1!G97</f>
        <v>0</v>
      </c>
      <c r="H97" s="390">
        <f>3429+[1]táj.1!H97</f>
        <v>3429</v>
      </c>
      <c r="I97" s="390">
        <f>0+[1]táj.1!I97</f>
        <v>0</v>
      </c>
      <c r="J97" s="390">
        <f>0+[1]táj.1!J97</f>
        <v>0</v>
      </c>
      <c r="K97" s="390">
        <f>0+[1]táj.1!K97</f>
        <v>0</v>
      </c>
      <c r="L97" s="390">
        <f>0+[1]táj.1!L97</f>
        <v>0</v>
      </c>
      <c r="M97" s="390">
        <f>0+[1]táj.1!M97</f>
        <v>0</v>
      </c>
      <c r="N97" s="390">
        <f>0+[1]táj.1!N97</f>
        <v>0</v>
      </c>
      <c r="O97" s="390">
        <f t="shared" si="5"/>
        <v>3429</v>
      </c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  <c r="HT97" s="127"/>
      <c r="HU97" s="127"/>
      <c r="HV97" s="127"/>
      <c r="HW97" s="127"/>
      <c r="HX97" s="127"/>
      <c r="HY97" s="127"/>
      <c r="HZ97" s="127"/>
      <c r="IA97" s="127"/>
      <c r="IB97" s="127"/>
      <c r="IC97" s="127"/>
      <c r="ID97" s="127"/>
      <c r="IE97" s="127"/>
      <c r="IF97" s="127"/>
      <c r="IG97" s="127"/>
      <c r="IH97" s="127"/>
      <c r="II97" s="127"/>
      <c r="IJ97" s="127"/>
      <c r="IK97" s="127"/>
      <c r="IL97" s="127"/>
      <c r="IM97" s="127"/>
      <c r="IN97" s="127"/>
      <c r="IO97" s="127"/>
      <c r="IP97" s="127"/>
      <c r="IQ97" s="127"/>
      <c r="IR97" s="127"/>
      <c r="IS97" s="127"/>
      <c r="IT97" s="127"/>
      <c r="IU97" s="127"/>
      <c r="IV97" s="127"/>
    </row>
    <row r="98" spans="1:256" x14ac:dyDescent="0.2">
      <c r="A98" s="128"/>
      <c r="B98" s="128"/>
      <c r="C98" s="437" t="s">
        <v>499</v>
      </c>
      <c r="D98" s="432">
        <v>171904</v>
      </c>
      <c r="E98" s="390">
        <f>0+[1]táj.1!E98</f>
        <v>0</v>
      </c>
      <c r="F98" s="390">
        <f>0+[1]táj.1!F98</f>
        <v>0</v>
      </c>
      <c r="G98" s="390">
        <f>0+[1]táj.1!G98</f>
        <v>0</v>
      </c>
      <c r="H98" s="390">
        <f>2000+[1]táj.1!H98</f>
        <v>2000</v>
      </c>
      <c r="I98" s="390">
        <f>0+[1]táj.1!I98</f>
        <v>0</v>
      </c>
      <c r="J98" s="390">
        <f>0+[1]táj.1!J98</f>
        <v>0</v>
      </c>
      <c r="K98" s="390">
        <f>0+[1]táj.1!K98</f>
        <v>0</v>
      </c>
      <c r="L98" s="390">
        <f>0+[1]táj.1!L98</f>
        <v>0</v>
      </c>
      <c r="M98" s="390">
        <f>0+[1]táj.1!M98</f>
        <v>0</v>
      </c>
      <c r="N98" s="390">
        <f>0+[1]táj.1!N98</f>
        <v>0</v>
      </c>
      <c r="O98" s="390">
        <f t="shared" si="5"/>
        <v>2000</v>
      </c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  <c r="HT98" s="127"/>
      <c r="HU98" s="127"/>
      <c r="HV98" s="127"/>
      <c r="HW98" s="127"/>
      <c r="HX98" s="127"/>
      <c r="HY98" s="127"/>
      <c r="HZ98" s="127"/>
      <c r="IA98" s="127"/>
      <c r="IB98" s="127"/>
      <c r="IC98" s="127"/>
      <c r="ID98" s="127"/>
      <c r="IE98" s="127"/>
      <c r="IF98" s="127"/>
      <c r="IG98" s="127"/>
      <c r="IH98" s="127"/>
      <c r="II98" s="127"/>
      <c r="IJ98" s="127"/>
      <c r="IK98" s="127"/>
      <c r="IL98" s="127"/>
      <c r="IM98" s="127"/>
      <c r="IN98" s="127"/>
      <c r="IO98" s="127"/>
      <c r="IP98" s="127"/>
      <c r="IQ98" s="127"/>
      <c r="IR98" s="127"/>
      <c r="IS98" s="127"/>
      <c r="IT98" s="127"/>
      <c r="IU98" s="127"/>
      <c r="IV98" s="127"/>
    </row>
    <row r="99" spans="1:256" x14ac:dyDescent="0.2">
      <c r="A99" s="128"/>
      <c r="B99" s="128"/>
      <c r="C99" s="437" t="s">
        <v>500</v>
      </c>
      <c r="D99" s="432">
        <v>172909</v>
      </c>
      <c r="E99" s="390">
        <f>0+[1]táj.1!E99</f>
        <v>0</v>
      </c>
      <c r="F99" s="390">
        <f>0+[1]táj.1!F99</f>
        <v>0</v>
      </c>
      <c r="G99" s="390">
        <f>0+[1]táj.1!G99</f>
        <v>0</v>
      </c>
      <c r="H99" s="390">
        <f>110647+[1]táj.1!H99</f>
        <v>110647</v>
      </c>
      <c r="I99" s="390">
        <f>0+[1]táj.1!I99</f>
        <v>0</v>
      </c>
      <c r="J99" s="390">
        <f>0+[1]táj.1!J99</f>
        <v>0</v>
      </c>
      <c r="K99" s="390">
        <f>0+[1]táj.1!K99</f>
        <v>0</v>
      </c>
      <c r="L99" s="390">
        <f>0+[1]táj.1!L99</f>
        <v>0</v>
      </c>
      <c r="M99" s="390">
        <f>0+[1]táj.1!M99</f>
        <v>0</v>
      </c>
      <c r="N99" s="390">
        <f>0+[1]táj.1!N99</f>
        <v>0</v>
      </c>
      <c r="O99" s="390">
        <f t="shared" si="5"/>
        <v>110647</v>
      </c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  <c r="HQ99" s="127"/>
      <c r="HR99" s="127"/>
      <c r="HS99" s="127"/>
      <c r="HT99" s="127"/>
      <c r="HU99" s="127"/>
      <c r="HV99" s="127"/>
      <c r="HW99" s="127"/>
      <c r="HX99" s="127"/>
      <c r="HY99" s="127"/>
      <c r="HZ99" s="127"/>
      <c r="IA99" s="127"/>
      <c r="IB99" s="127"/>
      <c r="IC99" s="127"/>
      <c r="ID99" s="127"/>
      <c r="IE99" s="127"/>
      <c r="IF99" s="127"/>
      <c r="IG99" s="127"/>
      <c r="IH99" s="127"/>
      <c r="II99" s="127"/>
      <c r="IJ99" s="127"/>
      <c r="IK99" s="127"/>
      <c r="IL99" s="127"/>
      <c r="IM99" s="127"/>
      <c r="IN99" s="127"/>
      <c r="IO99" s="127"/>
      <c r="IP99" s="127"/>
      <c r="IQ99" s="127"/>
      <c r="IR99" s="127"/>
      <c r="IS99" s="127"/>
      <c r="IT99" s="127"/>
      <c r="IU99" s="127"/>
      <c r="IV99" s="127"/>
    </row>
    <row r="100" spans="1:256" x14ac:dyDescent="0.2">
      <c r="A100" s="128"/>
      <c r="B100" s="128"/>
      <c r="C100" s="437" t="s">
        <v>501</v>
      </c>
      <c r="D100" s="432">
        <v>162674</v>
      </c>
      <c r="E100" s="390">
        <f>0+[1]táj.1!E100</f>
        <v>0</v>
      </c>
      <c r="F100" s="390">
        <f>0+[1]táj.1!F100</f>
        <v>0</v>
      </c>
      <c r="G100" s="390">
        <f>0+[1]táj.1!G100</f>
        <v>0</v>
      </c>
      <c r="H100" s="390">
        <f>15240+[1]táj.1!H100</f>
        <v>15240</v>
      </c>
      <c r="I100" s="390">
        <f>0+[1]táj.1!I100</f>
        <v>0</v>
      </c>
      <c r="J100" s="390">
        <f>0+[1]táj.1!J100</f>
        <v>0</v>
      </c>
      <c r="K100" s="390">
        <f>0+[1]táj.1!K100</f>
        <v>0</v>
      </c>
      <c r="L100" s="390">
        <f>0+[1]táj.1!L100</f>
        <v>0</v>
      </c>
      <c r="M100" s="390">
        <f>0+[1]táj.1!M100</f>
        <v>0</v>
      </c>
      <c r="N100" s="390">
        <f>0+[1]táj.1!N100</f>
        <v>0</v>
      </c>
      <c r="O100" s="390">
        <f t="shared" si="5"/>
        <v>15240</v>
      </c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  <c r="GX100" s="127"/>
      <c r="GY100" s="127"/>
      <c r="GZ100" s="127"/>
      <c r="HA100" s="127"/>
      <c r="HB100" s="127"/>
      <c r="HC100" s="127"/>
      <c r="HD100" s="127"/>
      <c r="HE100" s="127"/>
      <c r="HF100" s="127"/>
      <c r="HG100" s="127"/>
      <c r="HH100" s="127"/>
      <c r="HI100" s="127"/>
      <c r="HJ100" s="127"/>
      <c r="HK100" s="127"/>
      <c r="HL100" s="127"/>
      <c r="HM100" s="127"/>
      <c r="HN100" s="127"/>
      <c r="HO100" s="127"/>
      <c r="HP100" s="127"/>
      <c r="HQ100" s="127"/>
      <c r="HR100" s="127"/>
      <c r="HS100" s="127"/>
      <c r="HT100" s="127"/>
      <c r="HU100" s="127"/>
      <c r="HV100" s="127"/>
      <c r="HW100" s="127"/>
      <c r="HX100" s="127"/>
      <c r="HY100" s="127"/>
      <c r="HZ100" s="127"/>
      <c r="IA100" s="127"/>
      <c r="IB100" s="127"/>
      <c r="IC100" s="127"/>
      <c r="ID100" s="127"/>
      <c r="IE100" s="127"/>
      <c r="IF100" s="127"/>
      <c r="IG100" s="127"/>
      <c r="IH100" s="127"/>
      <c r="II100" s="127"/>
      <c r="IJ100" s="127"/>
      <c r="IK100" s="127"/>
      <c r="IL100" s="127"/>
      <c r="IM100" s="127"/>
      <c r="IN100" s="127"/>
      <c r="IO100" s="127"/>
      <c r="IP100" s="127"/>
      <c r="IQ100" s="127"/>
      <c r="IR100" s="127"/>
      <c r="IS100" s="127"/>
      <c r="IT100" s="127"/>
      <c r="IU100" s="127"/>
      <c r="IV100" s="127"/>
    </row>
    <row r="101" spans="1:256" x14ac:dyDescent="0.2">
      <c r="A101" s="128"/>
      <c r="B101" s="128"/>
      <c r="C101" s="437" t="s">
        <v>502</v>
      </c>
      <c r="D101" s="432">
        <v>172920</v>
      </c>
      <c r="E101" s="390">
        <f>0+[1]táj.1!E101</f>
        <v>0</v>
      </c>
      <c r="F101" s="390">
        <f>0+[1]táj.1!F101</f>
        <v>0</v>
      </c>
      <c r="G101" s="390">
        <f>0+[1]táj.1!G101</f>
        <v>0</v>
      </c>
      <c r="H101" s="390">
        <f>11430+[1]táj.1!H101</f>
        <v>11430</v>
      </c>
      <c r="I101" s="390">
        <f>0+[1]táj.1!I101</f>
        <v>0</v>
      </c>
      <c r="J101" s="390">
        <f>0+[1]táj.1!J101</f>
        <v>0</v>
      </c>
      <c r="K101" s="390">
        <f>0+[1]táj.1!K101</f>
        <v>0</v>
      </c>
      <c r="L101" s="390">
        <f>0+[1]táj.1!L101</f>
        <v>0</v>
      </c>
      <c r="M101" s="390">
        <f>0+[1]táj.1!M101</f>
        <v>0</v>
      </c>
      <c r="N101" s="390">
        <f>0+[1]táj.1!N101</f>
        <v>0</v>
      </c>
      <c r="O101" s="390">
        <f t="shared" si="5"/>
        <v>11430</v>
      </c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7"/>
      <c r="DZ101" s="127"/>
      <c r="EA101" s="127"/>
      <c r="EB101" s="127"/>
      <c r="EC101" s="127"/>
      <c r="ED101" s="127"/>
      <c r="EE101" s="127"/>
      <c r="EF101" s="127"/>
      <c r="EG101" s="127"/>
      <c r="EH101" s="127"/>
      <c r="EI101" s="127"/>
      <c r="EJ101" s="127"/>
      <c r="EK101" s="127"/>
      <c r="EL101" s="127"/>
      <c r="EM101" s="127"/>
      <c r="EN101" s="127"/>
      <c r="EO101" s="127"/>
      <c r="EP101" s="127"/>
      <c r="EQ101" s="127"/>
      <c r="ER101" s="127"/>
      <c r="ES101" s="127"/>
      <c r="ET101" s="127"/>
      <c r="EU101" s="127"/>
      <c r="EV101" s="127"/>
      <c r="EW101" s="127"/>
      <c r="EX101" s="127"/>
      <c r="EY101" s="127"/>
      <c r="EZ101" s="127"/>
      <c r="FA101" s="127"/>
      <c r="FB101" s="127"/>
      <c r="FC101" s="127"/>
      <c r="FD101" s="127"/>
      <c r="FE101" s="127"/>
      <c r="FF101" s="127"/>
      <c r="FG101" s="127"/>
      <c r="FH101" s="127"/>
      <c r="FI101" s="127"/>
      <c r="FJ101" s="127"/>
      <c r="FK101" s="127"/>
      <c r="FL101" s="127"/>
      <c r="FM101" s="127"/>
      <c r="FN101" s="127"/>
      <c r="FO101" s="127"/>
      <c r="FP101" s="127"/>
      <c r="FQ101" s="127"/>
      <c r="FR101" s="127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27"/>
      <c r="GG101" s="127"/>
      <c r="GH101" s="127"/>
      <c r="GI101" s="127"/>
      <c r="GJ101" s="127"/>
      <c r="GK101" s="127"/>
      <c r="GL101" s="127"/>
      <c r="GM101" s="127"/>
      <c r="GN101" s="127"/>
      <c r="GO101" s="127"/>
      <c r="GP101" s="127"/>
      <c r="GQ101" s="127"/>
      <c r="GR101" s="127"/>
      <c r="GS101" s="127"/>
      <c r="GT101" s="127"/>
      <c r="GU101" s="127"/>
      <c r="GV101" s="127"/>
      <c r="GW101" s="127"/>
      <c r="GX101" s="127"/>
      <c r="GY101" s="127"/>
      <c r="GZ101" s="127"/>
      <c r="HA101" s="127"/>
      <c r="HB101" s="127"/>
      <c r="HC101" s="127"/>
      <c r="HD101" s="127"/>
      <c r="HE101" s="127"/>
      <c r="HF101" s="127"/>
      <c r="HG101" s="127"/>
      <c r="HH101" s="127"/>
      <c r="HI101" s="127"/>
      <c r="HJ101" s="127"/>
      <c r="HK101" s="127"/>
      <c r="HL101" s="127"/>
      <c r="HM101" s="127"/>
      <c r="HN101" s="127"/>
      <c r="HO101" s="127"/>
      <c r="HP101" s="127"/>
      <c r="HQ101" s="127"/>
      <c r="HR101" s="127"/>
      <c r="HS101" s="127"/>
      <c r="HT101" s="127"/>
      <c r="HU101" s="127"/>
      <c r="HV101" s="127"/>
      <c r="HW101" s="127"/>
      <c r="HX101" s="127"/>
      <c r="HY101" s="127"/>
      <c r="HZ101" s="127"/>
      <c r="IA101" s="127"/>
      <c r="IB101" s="127"/>
      <c r="IC101" s="127"/>
      <c r="ID101" s="127"/>
      <c r="IE101" s="127"/>
      <c r="IF101" s="127"/>
      <c r="IG101" s="127"/>
      <c r="IH101" s="127"/>
      <c r="II101" s="127"/>
      <c r="IJ101" s="127"/>
      <c r="IK101" s="127"/>
      <c r="IL101" s="127"/>
      <c r="IM101" s="127"/>
      <c r="IN101" s="127"/>
      <c r="IO101" s="127"/>
      <c r="IP101" s="127"/>
      <c r="IQ101" s="127"/>
      <c r="IR101" s="127"/>
      <c r="IS101" s="127"/>
      <c r="IT101" s="127"/>
      <c r="IU101" s="127"/>
      <c r="IV101" s="127"/>
    </row>
    <row r="102" spans="1:256" x14ac:dyDescent="0.2">
      <c r="A102" s="128"/>
      <c r="B102" s="128"/>
      <c r="C102" s="437" t="s">
        <v>503</v>
      </c>
      <c r="D102" s="432">
        <v>172922</v>
      </c>
      <c r="E102" s="390">
        <f>0+[1]táj.1!E102</f>
        <v>0</v>
      </c>
      <c r="F102" s="390">
        <f>0+[1]táj.1!F102</f>
        <v>0</v>
      </c>
      <c r="G102" s="390">
        <f>0+[1]táj.1!G102</f>
        <v>0</v>
      </c>
      <c r="H102" s="390">
        <f>40640+[1]táj.1!H102</f>
        <v>40640</v>
      </c>
      <c r="I102" s="390">
        <f>0+[1]táj.1!I102</f>
        <v>0</v>
      </c>
      <c r="J102" s="390">
        <f>0+[1]táj.1!J102</f>
        <v>0</v>
      </c>
      <c r="K102" s="390">
        <f>0+[1]táj.1!K102</f>
        <v>0</v>
      </c>
      <c r="L102" s="390">
        <f>0+[1]táj.1!L102</f>
        <v>0</v>
      </c>
      <c r="M102" s="390">
        <f>0+[1]táj.1!M102</f>
        <v>0</v>
      </c>
      <c r="N102" s="390">
        <f>0+[1]táj.1!N102</f>
        <v>0</v>
      </c>
      <c r="O102" s="390">
        <f t="shared" si="5"/>
        <v>40640</v>
      </c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7"/>
      <c r="DO102" s="127"/>
      <c r="DP102" s="127"/>
      <c r="DQ102" s="127"/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7"/>
      <c r="EI102" s="127"/>
      <c r="EJ102" s="127"/>
      <c r="EK102" s="127"/>
      <c r="EL102" s="127"/>
      <c r="EM102" s="127"/>
      <c r="EN102" s="127"/>
      <c r="EO102" s="127"/>
      <c r="EP102" s="127"/>
      <c r="EQ102" s="127"/>
      <c r="ER102" s="127"/>
      <c r="ES102" s="127"/>
      <c r="ET102" s="127"/>
      <c r="EU102" s="127"/>
      <c r="EV102" s="127"/>
      <c r="EW102" s="127"/>
      <c r="EX102" s="127"/>
      <c r="EY102" s="127"/>
      <c r="EZ102" s="127"/>
      <c r="FA102" s="127"/>
      <c r="FB102" s="127"/>
      <c r="FC102" s="127"/>
      <c r="FD102" s="127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27"/>
      <c r="FX102" s="127"/>
      <c r="FY102" s="127"/>
      <c r="FZ102" s="127"/>
      <c r="GA102" s="127"/>
      <c r="GB102" s="127"/>
      <c r="GC102" s="127"/>
      <c r="GD102" s="127"/>
      <c r="GE102" s="127"/>
      <c r="GF102" s="127"/>
      <c r="GG102" s="127"/>
      <c r="GH102" s="127"/>
      <c r="GI102" s="127"/>
      <c r="GJ102" s="127"/>
      <c r="GK102" s="127"/>
      <c r="GL102" s="127"/>
      <c r="GM102" s="127"/>
      <c r="GN102" s="127"/>
      <c r="GO102" s="127"/>
      <c r="GP102" s="127"/>
      <c r="GQ102" s="127"/>
      <c r="GR102" s="127"/>
      <c r="GS102" s="127"/>
      <c r="GT102" s="127"/>
      <c r="GU102" s="127"/>
      <c r="GV102" s="127"/>
      <c r="GW102" s="127"/>
      <c r="GX102" s="127"/>
      <c r="GY102" s="127"/>
      <c r="GZ102" s="127"/>
      <c r="HA102" s="127"/>
      <c r="HB102" s="127"/>
      <c r="HC102" s="127"/>
      <c r="HD102" s="127"/>
      <c r="HE102" s="127"/>
      <c r="HF102" s="127"/>
      <c r="HG102" s="127"/>
      <c r="HH102" s="127"/>
      <c r="HI102" s="127"/>
      <c r="HJ102" s="127"/>
      <c r="HK102" s="127"/>
      <c r="HL102" s="127"/>
      <c r="HM102" s="127"/>
      <c r="HN102" s="127"/>
      <c r="HO102" s="127"/>
      <c r="HP102" s="127"/>
      <c r="HQ102" s="127"/>
      <c r="HR102" s="127"/>
      <c r="HS102" s="127"/>
      <c r="HT102" s="127"/>
      <c r="HU102" s="127"/>
      <c r="HV102" s="127"/>
      <c r="HW102" s="127"/>
      <c r="HX102" s="127"/>
      <c r="HY102" s="127"/>
      <c r="HZ102" s="127"/>
      <c r="IA102" s="127"/>
      <c r="IB102" s="127"/>
      <c r="IC102" s="127"/>
      <c r="ID102" s="127"/>
      <c r="IE102" s="127"/>
      <c r="IF102" s="127"/>
      <c r="IG102" s="127"/>
      <c r="IH102" s="127"/>
      <c r="II102" s="127"/>
      <c r="IJ102" s="127"/>
      <c r="IK102" s="127"/>
      <c r="IL102" s="127"/>
      <c r="IM102" s="127"/>
      <c r="IN102" s="127"/>
      <c r="IO102" s="127"/>
      <c r="IP102" s="127"/>
      <c r="IQ102" s="127"/>
      <c r="IR102" s="127"/>
      <c r="IS102" s="127"/>
      <c r="IT102" s="127"/>
      <c r="IU102" s="127"/>
      <c r="IV102" s="127"/>
    </row>
    <row r="103" spans="1:256" x14ac:dyDescent="0.2">
      <c r="A103" s="128"/>
      <c r="B103" s="128"/>
      <c r="C103" s="437" t="s">
        <v>57</v>
      </c>
      <c r="D103" s="721">
        <v>172925</v>
      </c>
      <c r="E103" s="390">
        <f>0+[1]táj.1!E103</f>
        <v>0</v>
      </c>
      <c r="F103" s="390">
        <f>0+[1]táj.1!F103</f>
        <v>0</v>
      </c>
      <c r="G103" s="390">
        <f>0+[1]táj.1!G103</f>
        <v>0</v>
      </c>
      <c r="H103" s="390">
        <f>5715+[1]táj.1!H103</f>
        <v>5715</v>
      </c>
      <c r="I103" s="390">
        <f>0+[1]táj.1!I103</f>
        <v>0</v>
      </c>
      <c r="J103" s="390">
        <f>0+[1]táj.1!J103</f>
        <v>0</v>
      </c>
      <c r="K103" s="390">
        <f>0+[1]táj.1!K103</f>
        <v>0</v>
      </c>
      <c r="L103" s="390">
        <f>0+[1]táj.1!L103</f>
        <v>0</v>
      </c>
      <c r="M103" s="390">
        <f>0+[1]táj.1!M103</f>
        <v>0</v>
      </c>
      <c r="N103" s="390">
        <f>0+[1]táj.1!N103</f>
        <v>0</v>
      </c>
      <c r="O103" s="390">
        <f t="shared" si="5"/>
        <v>5715</v>
      </c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7"/>
      <c r="DK103" s="127"/>
      <c r="DL103" s="127"/>
      <c r="DM103" s="127"/>
      <c r="DN103" s="127"/>
      <c r="DO103" s="127"/>
      <c r="DP103" s="127"/>
      <c r="DQ103" s="127"/>
      <c r="DR103" s="127"/>
      <c r="DS103" s="127"/>
      <c r="DT103" s="127"/>
      <c r="DU103" s="127"/>
      <c r="DV103" s="127"/>
      <c r="DW103" s="127"/>
      <c r="DX103" s="127"/>
      <c r="DY103" s="127"/>
      <c r="DZ103" s="127"/>
      <c r="EA103" s="127"/>
      <c r="EB103" s="127"/>
      <c r="EC103" s="127"/>
      <c r="ED103" s="127"/>
      <c r="EE103" s="127"/>
      <c r="EF103" s="127"/>
      <c r="EG103" s="127"/>
      <c r="EH103" s="127"/>
      <c r="EI103" s="127"/>
      <c r="EJ103" s="127"/>
      <c r="EK103" s="127"/>
      <c r="EL103" s="127"/>
      <c r="EM103" s="127"/>
      <c r="EN103" s="127"/>
      <c r="EO103" s="127"/>
      <c r="EP103" s="127"/>
      <c r="EQ103" s="127"/>
      <c r="ER103" s="127"/>
      <c r="ES103" s="127"/>
      <c r="ET103" s="127"/>
      <c r="EU103" s="127"/>
      <c r="EV103" s="127"/>
      <c r="EW103" s="127"/>
      <c r="EX103" s="127"/>
      <c r="EY103" s="127"/>
      <c r="EZ103" s="127"/>
      <c r="FA103" s="127"/>
      <c r="FB103" s="127"/>
      <c r="FC103" s="127"/>
      <c r="FD103" s="127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7"/>
      <c r="FY103" s="127"/>
      <c r="FZ103" s="127"/>
      <c r="GA103" s="127"/>
      <c r="GB103" s="127"/>
      <c r="GC103" s="127"/>
      <c r="GD103" s="127"/>
      <c r="GE103" s="127"/>
      <c r="GF103" s="127"/>
      <c r="GG103" s="127"/>
      <c r="GH103" s="127"/>
      <c r="GI103" s="127"/>
      <c r="GJ103" s="127"/>
      <c r="GK103" s="127"/>
      <c r="GL103" s="127"/>
      <c r="GM103" s="127"/>
      <c r="GN103" s="127"/>
      <c r="GO103" s="127"/>
      <c r="GP103" s="127"/>
      <c r="GQ103" s="127"/>
      <c r="GR103" s="127"/>
      <c r="GS103" s="127"/>
      <c r="GT103" s="127"/>
      <c r="GU103" s="127"/>
      <c r="GV103" s="127"/>
      <c r="GW103" s="127"/>
      <c r="GX103" s="127"/>
      <c r="GY103" s="127"/>
      <c r="GZ103" s="127"/>
      <c r="HA103" s="127"/>
      <c r="HB103" s="127"/>
      <c r="HC103" s="127"/>
      <c r="HD103" s="127"/>
      <c r="HE103" s="127"/>
      <c r="HF103" s="127"/>
      <c r="HG103" s="127"/>
      <c r="HH103" s="127"/>
      <c r="HI103" s="127"/>
      <c r="HJ103" s="127"/>
      <c r="HK103" s="127"/>
      <c r="HL103" s="127"/>
      <c r="HM103" s="127"/>
      <c r="HN103" s="127"/>
      <c r="HO103" s="127"/>
      <c r="HP103" s="127"/>
      <c r="HQ103" s="127"/>
      <c r="HR103" s="127"/>
      <c r="HS103" s="127"/>
      <c r="HT103" s="127"/>
      <c r="HU103" s="127"/>
      <c r="HV103" s="127"/>
      <c r="HW103" s="127"/>
      <c r="HX103" s="127"/>
      <c r="HY103" s="127"/>
      <c r="HZ103" s="127"/>
      <c r="IA103" s="127"/>
      <c r="IB103" s="127"/>
      <c r="IC103" s="127"/>
      <c r="ID103" s="127"/>
      <c r="IE103" s="127"/>
      <c r="IF103" s="127"/>
      <c r="IG103" s="127"/>
      <c r="IH103" s="127"/>
      <c r="II103" s="127"/>
      <c r="IJ103" s="127"/>
      <c r="IK103" s="127"/>
      <c r="IL103" s="127"/>
      <c r="IM103" s="127"/>
      <c r="IN103" s="127"/>
      <c r="IO103" s="127"/>
      <c r="IP103" s="127"/>
      <c r="IQ103" s="127"/>
      <c r="IR103" s="127"/>
      <c r="IS103" s="127"/>
      <c r="IT103" s="127"/>
      <c r="IU103" s="127"/>
      <c r="IV103" s="127"/>
    </row>
    <row r="104" spans="1:256" x14ac:dyDescent="0.2">
      <c r="A104" s="128"/>
      <c r="B104" s="128"/>
      <c r="C104" s="437" t="s">
        <v>1495</v>
      </c>
      <c r="D104" s="432">
        <v>172901</v>
      </c>
      <c r="E104" s="390">
        <f>0+[1]táj.1!E104</f>
        <v>0</v>
      </c>
      <c r="F104" s="390">
        <f>0+[1]táj.1!F104</f>
        <v>0</v>
      </c>
      <c r="G104" s="390">
        <f>0+[1]táj.1!G104</f>
        <v>0</v>
      </c>
      <c r="H104" s="390">
        <f>0+[1]táj.1!H104</f>
        <v>0</v>
      </c>
      <c r="I104" s="390">
        <f>0+[1]táj.1!I104</f>
        <v>2955</v>
      </c>
      <c r="J104" s="390">
        <f>0+[1]táj.1!J104</f>
        <v>0</v>
      </c>
      <c r="K104" s="390">
        <f>0+[1]táj.1!K104</f>
        <v>0</v>
      </c>
      <c r="L104" s="390">
        <f>0+[1]táj.1!L104</f>
        <v>0</v>
      </c>
      <c r="M104" s="390">
        <f>0+[1]táj.1!M104</f>
        <v>0</v>
      </c>
      <c r="N104" s="390">
        <f>0+[1]táj.1!N104</f>
        <v>0</v>
      </c>
      <c r="O104" s="390">
        <f t="shared" si="5"/>
        <v>2955</v>
      </c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  <c r="GX104" s="127"/>
      <c r="GY104" s="127"/>
      <c r="GZ104" s="127"/>
      <c r="HA104" s="127"/>
      <c r="HB104" s="127"/>
      <c r="HC104" s="127"/>
      <c r="HD104" s="127"/>
      <c r="HE104" s="127"/>
      <c r="HF104" s="127"/>
      <c r="HG104" s="127"/>
      <c r="HH104" s="127"/>
      <c r="HI104" s="127"/>
      <c r="HJ104" s="127"/>
      <c r="HK104" s="127"/>
      <c r="HL104" s="127"/>
      <c r="HM104" s="127"/>
      <c r="HN104" s="127"/>
      <c r="HO104" s="127"/>
      <c r="HP104" s="127"/>
      <c r="HQ104" s="127"/>
      <c r="HR104" s="127"/>
      <c r="HS104" s="127"/>
      <c r="HT104" s="127"/>
      <c r="HU104" s="127"/>
      <c r="HV104" s="127"/>
      <c r="HW104" s="127"/>
      <c r="HX104" s="127"/>
      <c r="HY104" s="127"/>
      <c r="HZ104" s="127"/>
      <c r="IA104" s="127"/>
      <c r="IB104" s="127"/>
      <c r="IC104" s="127"/>
      <c r="ID104" s="127"/>
      <c r="IE104" s="127"/>
      <c r="IF104" s="127"/>
      <c r="IG104" s="127"/>
      <c r="IH104" s="127"/>
      <c r="II104" s="127"/>
      <c r="IJ104" s="127"/>
      <c r="IK104" s="127"/>
      <c r="IL104" s="127"/>
      <c r="IM104" s="127"/>
      <c r="IN104" s="127"/>
      <c r="IO104" s="127"/>
      <c r="IP104" s="127"/>
      <c r="IQ104" s="127"/>
      <c r="IR104" s="127"/>
      <c r="IS104" s="127"/>
      <c r="IT104" s="127"/>
      <c r="IU104" s="127"/>
      <c r="IV104" s="127"/>
    </row>
    <row r="105" spans="1:256" ht="25.5" x14ac:dyDescent="0.2">
      <c r="A105" s="128"/>
      <c r="B105" s="128"/>
      <c r="C105" s="438" t="s">
        <v>504</v>
      </c>
      <c r="D105" s="433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  <c r="GX105" s="127"/>
      <c r="GY105" s="127"/>
      <c r="GZ105" s="127"/>
      <c r="HA105" s="127"/>
      <c r="HB105" s="127"/>
      <c r="HC105" s="127"/>
      <c r="HD105" s="127"/>
      <c r="HE105" s="127"/>
      <c r="HF105" s="127"/>
      <c r="HG105" s="127"/>
      <c r="HH105" s="127"/>
      <c r="HI105" s="127"/>
      <c r="HJ105" s="127"/>
      <c r="HK105" s="127"/>
      <c r="HL105" s="127"/>
      <c r="HM105" s="127"/>
      <c r="HN105" s="127"/>
      <c r="HO105" s="127"/>
      <c r="HP105" s="127"/>
      <c r="HQ105" s="127"/>
      <c r="HR105" s="127"/>
      <c r="HS105" s="127"/>
      <c r="HT105" s="127"/>
      <c r="HU105" s="127"/>
      <c r="HV105" s="127"/>
      <c r="HW105" s="127"/>
      <c r="HX105" s="127"/>
      <c r="HY105" s="127"/>
      <c r="HZ105" s="127"/>
      <c r="IA105" s="127"/>
      <c r="IB105" s="127"/>
      <c r="IC105" s="127"/>
      <c r="ID105" s="127"/>
      <c r="IE105" s="127"/>
      <c r="IF105" s="127"/>
      <c r="IG105" s="127"/>
      <c r="IH105" s="127"/>
      <c r="II105" s="127"/>
      <c r="IJ105" s="127"/>
      <c r="IK105" s="127"/>
      <c r="IL105" s="127"/>
      <c r="IM105" s="127"/>
      <c r="IN105" s="127"/>
      <c r="IO105" s="127"/>
      <c r="IP105" s="127"/>
      <c r="IQ105" s="127"/>
      <c r="IR105" s="127"/>
      <c r="IS105" s="127"/>
      <c r="IT105" s="127"/>
      <c r="IU105" s="127"/>
      <c r="IV105" s="127"/>
    </row>
    <row r="106" spans="1:256" x14ac:dyDescent="0.2">
      <c r="A106" s="128"/>
      <c r="B106" s="128"/>
      <c r="C106" s="393" t="s">
        <v>505</v>
      </c>
      <c r="D106" s="432">
        <v>171901</v>
      </c>
      <c r="E106" s="390">
        <f>0+[1]táj.1!E106</f>
        <v>0</v>
      </c>
      <c r="F106" s="390">
        <f>0+[1]táj.1!F106</f>
        <v>0</v>
      </c>
      <c r="G106" s="390">
        <f>0+[1]táj.1!G106</f>
        <v>0</v>
      </c>
      <c r="H106" s="390">
        <f>31115+[1]táj.1!H106</f>
        <v>31115</v>
      </c>
      <c r="I106" s="390">
        <f>0+[1]táj.1!I106</f>
        <v>0</v>
      </c>
      <c r="J106" s="390">
        <f>0+[1]táj.1!J106</f>
        <v>0</v>
      </c>
      <c r="K106" s="390">
        <f>0+[1]táj.1!K106</f>
        <v>0</v>
      </c>
      <c r="L106" s="390">
        <f>0+[1]táj.1!L106</f>
        <v>0</v>
      </c>
      <c r="M106" s="390">
        <f>0+[1]táj.1!M106</f>
        <v>0</v>
      </c>
      <c r="N106" s="390">
        <f>0+[1]táj.1!N106</f>
        <v>0</v>
      </c>
      <c r="O106" s="390">
        <f>SUM(E106:N106)</f>
        <v>31115</v>
      </c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  <c r="HQ106" s="127"/>
      <c r="HR106" s="127"/>
      <c r="HS106" s="127"/>
      <c r="HT106" s="127"/>
      <c r="HU106" s="127"/>
      <c r="HV106" s="127"/>
      <c r="HW106" s="127"/>
      <c r="HX106" s="127"/>
      <c r="HY106" s="127"/>
      <c r="HZ106" s="127"/>
      <c r="IA106" s="127"/>
      <c r="IB106" s="127"/>
      <c r="IC106" s="127"/>
      <c r="ID106" s="127"/>
      <c r="IE106" s="127"/>
      <c r="IF106" s="127"/>
      <c r="IG106" s="127"/>
      <c r="IH106" s="127"/>
      <c r="II106" s="127"/>
      <c r="IJ106" s="127"/>
      <c r="IK106" s="127"/>
      <c r="IL106" s="127"/>
      <c r="IM106" s="127"/>
      <c r="IN106" s="127"/>
      <c r="IO106" s="127"/>
      <c r="IP106" s="127"/>
      <c r="IQ106" s="127"/>
      <c r="IR106" s="127"/>
      <c r="IS106" s="127"/>
      <c r="IT106" s="127"/>
      <c r="IU106" s="127"/>
      <c r="IV106" s="127"/>
    </row>
    <row r="107" spans="1:256" ht="25.5" x14ac:dyDescent="0.2">
      <c r="A107" s="129"/>
      <c r="B107" s="129"/>
      <c r="C107" s="439" t="s">
        <v>506</v>
      </c>
      <c r="D107" s="44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  <c r="DC107" s="127"/>
      <c r="DD107" s="127"/>
      <c r="DE107" s="127"/>
      <c r="DF107" s="127"/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7"/>
      <c r="DZ107" s="127"/>
      <c r="EA107" s="127"/>
      <c r="EB107" s="127"/>
      <c r="EC107" s="127"/>
      <c r="ED107" s="127"/>
      <c r="EE107" s="127"/>
      <c r="EF107" s="127"/>
      <c r="EG107" s="127"/>
      <c r="EH107" s="127"/>
      <c r="EI107" s="127"/>
      <c r="EJ107" s="127"/>
      <c r="EK107" s="127"/>
      <c r="EL107" s="127"/>
      <c r="EM107" s="127"/>
      <c r="EN107" s="127"/>
      <c r="EO107" s="127"/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127"/>
      <c r="FG107" s="127"/>
      <c r="FH107" s="127"/>
      <c r="FI107" s="127"/>
      <c r="FJ107" s="127"/>
      <c r="FK107" s="127"/>
      <c r="FL107" s="127"/>
      <c r="FM107" s="127"/>
      <c r="FN107" s="127"/>
      <c r="FO107" s="127"/>
      <c r="FP107" s="127"/>
      <c r="FQ107" s="127"/>
      <c r="FR107" s="127"/>
      <c r="FS107" s="127"/>
      <c r="FT107" s="127"/>
      <c r="FU107" s="127"/>
      <c r="FV107" s="127"/>
      <c r="FW107" s="127"/>
      <c r="FX107" s="127"/>
      <c r="FY107" s="127"/>
      <c r="FZ107" s="127"/>
      <c r="GA107" s="127"/>
      <c r="GB107" s="127"/>
      <c r="GC107" s="127"/>
      <c r="GD107" s="127"/>
      <c r="GE107" s="127"/>
      <c r="GF107" s="127"/>
      <c r="GG107" s="127"/>
      <c r="GH107" s="127"/>
      <c r="GI107" s="127"/>
      <c r="GJ107" s="127"/>
      <c r="GK107" s="127"/>
      <c r="GL107" s="127"/>
      <c r="GM107" s="127"/>
      <c r="GN107" s="127"/>
      <c r="GO107" s="127"/>
      <c r="GP107" s="127"/>
      <c r="GQ107" s="127"/>
      <c r="GR107" s="127"/>
      <c r="GS107" s="127"/>
      <c r="GT107" s="127"/>
      <c r="GU107" s="127"/>
      <c r="GV107" s="127"/>
      <c r="GW107" s="127"/>
      <c r="GX107" s="127"/>
      <c r="GY107" s="127"/>
      <c r="GZ107" s="127"/>
      <c r="HA107" s="127"/>
      <c r="HB107" s="127"/>
      <c r="HC107" s="127"/>
      <c r="HD107" s="127"/>
      <c r="HE107" s="127"/>
      <c r="HF107" s="127"/>
      <c r="HG107" s="127"/>
      <c r="HH107" s="127"/>
      <c r="HI107" s="127"/>
      <c r="HJ107" s="127"/>
      <c r="HK107" s="127"/>
      <c r="HL107" s="127"/>
      <c r="HM107" s="127"/>
      <c r="HN107" s="127"/>
      <c r="HO107" s="127"/>
      <c r="HP107" s="127"/>
      <c r="HQ107" s="127"/>
      <c r="HR107" s="127"/>
      <c r="HS107" s="127"/>
      <c r="HT107" s="127"/>
      <c r="HU107" s="127"/>
      <c r="HV107" s="127"/>
      <c r="HW107" s="127"/>
      <c r="HX107" s="127"/>
      <c r="HY107" s="127"/>
      <c r="HZ107" s="127"/>
      <c r="IA107" s="127"/>
      <c r="IB107" s="127"/>
      <c r="IC107" s="127"/>
      <c r="ID107" s="127"/>
      <c r="IE107" s="127"/>
      <c r="IF107" s="127"/>
      <c r="IG107" s="127"/>
      <c r="IH107" s="127"/>
      <c r="II107" s="127"/>
      <c r="IJ107" s="127"/>
      <c r="IK107" s="127"/>
      <c r="IL107" s="127"/>
      <c r="IM107" s="127"/>
      <c r="IN107" s="127"/>
      <c r="IO107" s="127"/>
      <c r="IP107" s="127"/>
      <c r="IQ107" s="127"/>
      <c r="IR107" s="127"/>
      <c r="IS107" s="127"/>
      <c r="IT107" s="127"/>
      <c r="IU107" s="127"/>
      <c r="IV107" s="127"/>
    </row>
    <row r="108" spans="1:256" ht="25.5" x14ac:dyDescent="0.2">
      <c r="A108" s="129"/>
      <c r="B108" s="129"/>
      <c r="C108" s="438" t="s">
        <v>507</v>
      </c>
      <c r="D108" s="423">
        <v>171908</v>
      </c>
      <c r="E108" s="390">
        <f>0+[1]táj.1!E108</f>
        <v>0</v>
      </c>
      <c r="F108" s="390">
        <f>0+[1]táj.1!F108</f>
        <v>0</v>
      </c>
      <c r="G108" s="390">
        <f>0+[1]táj.1!G108</f>
        <v>0</v>
      </c>
      <c r="H108" s="390">
        <f>101600+[1]táj.1!H108</f>
        <v>101600</v>
      </c>
      <c r="I108" s="390">
        <f>0+[1]táj.1!I108</f>
        <v>0</v>
      </c>
      <c r="J108" s="390">
        <f>0+[1]táj.1!J108</f>
        <v>0</v>
      </c>
      <c r="K108" s="390">
        <f>0+[1]táj.1!K108</f>
        <v>0</v>
      </c>
      <c r="L108" s="390">
        <f>0+[1]táj.1!L108</f>
        <v>0</v>
      </c>
      <c r="M108" s="390">
        <f>0+[1]táj.1!M108</f>
        <v>0</v>
      </c>
      <c r="N108" s="390">
        <f>0+[1]táj.1!N108</f>
        <v>0</v>
      </c>
      <c r="O108" s="390">
        <f>SUM(E108:N108)</f>
        <v>101600</v>
      </c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7"/>
      <c r="DO108" s="127"/>
      <c r="DP108" s="127"/>
      <c r="DQ108" s="127"/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7"/>
      <c r="EI108" s="127"/>
      <c r="EJ108" s="127"/>
      <c r="EK108" s="127"/>
      <c r="EL108" s="127"/>
      <c r="EM108" s="127"/>
      <c r="EN108" s="127"/>
      <c r="EO108" s="127"/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127"/>
      <c r="FG108" s="127"/>
      <c r="FH108" s="127"/>
      <c r="FI108" s="12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  <c r="GG108" s="127"/>
      <c r="GH108" s="127"/>
      <c r="GI108" s="127"/>
      <c r="GJ108" s="127"/>
      <c r="GK108" s="127"/>
      <c r="GL108" s="127"/>
      <c r="GM108" s="127"/>
      <c r="GN108" s="127"/>
      <c r="GO108" s="127"/>
      <c r="GP108" s="127"/>
      <c r="GQ108" s="127"/>
      <c r="GR108" s="127"/>
      <c r="GS108" s="127"/>
      <c r="GT108" s="127"/>
      <c r="GU108" s="127"/>
      <c r="GV108" s="127"/>
      <c r="GW108" s="127"/>
      <c r="GX108" s="127"/>
      <c r="GY108" s="127"/>
      <c r="GZ108" s="127"/>
      <c r="HA108" s="127"/>
      <c r="HB108" s="127"/>
      <c r="HC108" s="127"/>
      <c r="HD108" s="127"/>
      <c r="HE108" s="127"/>
      <c r="HF108" s="127"/>
      <c r="HG108" s="127"/>
      <c r="HH108" s="127"/>
      <c r="HI108" s="127"/>
      <c r="HJ108" s="127"/>
      <c r="HK108" s="127"/>
      <c r="HL108" s="127"/>
      <c r="HM108" s="127"/>
      <c r="HN108" s="127"/>
      <c r="HO108" s="127"/>
      <c r="HP108" s="127"/>
      <c r="HQ108" s="127"/>
      <c r="HR108" s="127"/>
      <c r="HS108" s="127"/>
      <c r="HT108" s="127"/>
      <c r="HU108" s="127"/>
      <c r="HV108" s="127"/>
      <c r="HW108" s="127"/>
      <c r="HX108" s="127"/>
      <c r="HY108" s="127"/>
      <c r="HZ108" s="127"/>
      <c r="IA108" s="127"/>
      <c r="IB108" s="127"/>
      <c r="IC108" s="127"/>
      <c r="ID108" s="127"/>
      <c r="IE108" s="127"/>
      <c r="IF108" s="127"/>
      <c r="IG108" s="127"/>
      <c r="IH108" s="127"/>
      <c r="II108" s="127"/>
      <c r="IJ108" s="127"/>
      <c r="IK108" s="127"/>
      <c r="IL108" s="127"/>
      <c r="IM108" s="127"/>
      <c r="IN108" s="127"/>
      <c r="IO108" s="127"/>
      <c r="IP108" s="127"/>
      <c r="IQ108" s="127"/>
      <c r="IR108" s="127"/>
      <c r="IS108" s="127"/>
      <c r="IT108" s="127"/>
      <c r="IU108" s="127"/>
      <c r="IV108" s="127"/>
    </row>
    <row r="109" spans="1:256" x14ac:dyDescent="0.2">
      <c r="A109" s="129"/>
      <c r="B109" s="129"/>
      <c r="C109" s="722" t="s">
        <v>508</v>
      </c>
      <c r="D109" s="435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27"/>
      <c r="DE109" s="127"/>
      <c r="DF109" s="127"/>
      <c r="DG109" s="127"/>
      <c r="DH109" s="127"/>
      <c r="DI109" s="127"/>
      <c r="DJ109" s="127"/>
      <c r="DK109" s="127"/>
      <c r="DL109" s="127"/>
      <c r="DM109" s="127"/>
      <c r="DN109" s="127"/>
      <c r="DO109" s="127"/>
      <c r="DP109" s="127"/>
      <c r="DQ109" s="127"/>
      <c r="DR109" s="127"/>
      <c r="DS109" s="127"/>
      <c r="DT109" s="127"/>
      <c r="DU109" s="127"/>
      <c r="DV109" s="127"/>
      <c r="DW109" s="127"/>
      <c r="DX109" s="127"/>
      <c r="DY109" s="127"/>
      <c r="DZ109" s="127"/>
      <c r="EA109" s="127"/>
      <c r="EB109" s="127"/>
      <c r="EC109" s="127"/>
      <c r="ED109" s="127"/>
      <c r="EE109" s="127"/>
      <c r="EF109" s="127"/>
      <c r="EG109" s="127"/>
      <c r="EH109" s="127"/>
      <c r="EI109" s="127"/>
      <c r="EJ109" s="127"/>
      <c r="EK109" s="127"/>
      <c r="EL109" s="127"/>
      <c r="EM109" s="127"/>
      <c r="EN109" s="127"/>
      <c r="EO109" s="127"/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127"/>
      <c r="FG109" s="127"/>
      <c r="FH109" s="127"/>
      <c r="FI109" s="12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127"/>
      <c r="GX109" s="127"/>
      <c r="GY109" s="127"/>
      <c r="GZ109" s="127"/>
      <c r="HA109" s="127"/>
      <c r="HB109" s="127"/>
      <c r="HC109" s="127"/>
      <c r="HD109" s="127"/>
      <c r="HE109" s="127"/>
      <c r="HF109" s="127"/>
      <c r="HG109" s="127"/>
      <c r="HH109" s="127"/>
      <c r="HI109" s="127"/>
      <c r="HJ109" s="127"/>
      <c r="HK109" s="127"/>
      <c r="HL109" s="127"/>
      <c r="HM109" s="127"/>
      <c r="HN109" s="127"/>
      <c r="HO109" s="127"/>
      <c r="HP109" s="127"/>
      <c r="HQ109" s="127"/>
      <c r="HR109" s="127"/>
      <c r="HS109" s="127"/>
      <c r="HT109" s="127"/>
      <c r="HU109" s="127"/>
      <c r="HV109" s="127"/>
      <c r="HW109" s="127"/>
      <c r="HX109" s="127"/>
      <c r="HY109" s="127"/>
      <c r="HZ109" s="127"/>
      <c r="IA109" s="127"/>
      <c r="IB109" s="127"/>
      <c r="IC109" s="127"/>
      <c r="ID109" s="127"/>
      <c r="IE109" s="127"/>
      <c r="IF109" s="127"/>
      <c r="IG109" s="127"/>
      <c r="IH109" s="127"/>
      <c r="II109" s="127"/>
      <c r="IJ109" s="127"/>
      <c r="IK109" s="127"/>
      <c r="IL109" s="127"/>
      <c r="IM109" s="127"/>
      <c r="IN109" s="127"/>
      <c r="IO109" s="127"/>
      <c r="IP109" s="127"/>
      <c r="IQ109" s="127"/>
      <c r="IR109" s="127"/>
      <c r="IS109" s="127"/>
      <c r="IT109" s="127"/>
      <c r="IU109" s="127"/>
      <c r="IV109" s="127"/>
    </row>
    <row r="110" spans="1:256" x14ac:dyDescent="0.2">
      <c r="A110" s="129"/>
      <c r="B110" s="129"/>
      <c r="C110" s="406" t="s">
        <v>509</v>
      </c>
      <c r="D110" s="421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7"/>
      <c r="EI110" s="127"/>
      <c r="EJ110" s="127"/>
      <c r="EK110" s="127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127"/>
      <c r="FF110" s="127"/>
      <c r="FG110" s="127"/>
      <c r="FH110" s="127"/>
      <c r="FI110" s="12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  <c r="GG110" s="127"/>
      <c r="GH110" s="127"/>
      <c r="GI110" s="127"/>
      <c r="GJ110" s="127"/>
      <c r="GK110" s="127"/>
      <c r="GL110" s="127"/>
      <c r="GM110" s="127"/>
      <c r="GN110" s="127"/>
      <c r="GO110" s="127"/>
      <c r="GP110" s="127"/>
      <c r="GQ110" s="127"/>
      <c r="GR110" s="127"/>
      <c r="GS110" s="127"/>
      <c r="GT110" s="127"/>
      <c r="GU110" s="127"/>
      <c r="GV110" s="127"/>
      <c r="GW110" s="127"/>
      <c r="GX110" s="127"/>
      <c r="GY110" s="127"/>
      <c r="GZ110" s="127"/>
      <c r="HA110" s="127"/>
      <c r="HB110" s="127"/>
      <c r="HC110" s="127"/>
      <c r="HD110" s="127"/>
      <c r="HE110" s="127"/>
      <c r="HF110" s="127"/>
      <c r="HG110" s="127"/>
      <c r="HH110" s="127"/>
      <c r="HI110" s="127"/>
      <c r="HJ110" s="127"/>
      <c r="HK110" s="127"/>
      <c r="HL110" s="127"/>
      <c r="HM110" s="127"/>
      <c r="HN110" s="127"/>
      <c r="HO110" s="127"/>
      <c r="HP110" s="127"/>
      <c r="HQ110" s="127"/>
      <c r="HR110" s="127"/>
      <c r="HS110" s="127"/>
      <c r="HT110" s="127"/>
      <c r="HU110" s="127"/>
      <c r="HV110" s="127"/>
      <c r="HW110" s="127"/>
      <c r="HX110" s="127"/>
      <c r="HY110" s="127"/>
      <c r="HZ110" s="127"/>
      <c r="IA110" s="127"/>
      <c r="IB110" s="127"/>
      <c r="IC110" s="127"/>
      <c r="ID110" s="127"/>
      <c r="IE110" s="127"/>
      <c r="IF110" s="127"/>
      <c r="IG110" s="127"/>
      <c r="IH110" s="127"/>
      <c r="II110" s="127"/>
      <c r="IJ110" s="127"/>
      <c r="IK110" s="127"/>
      <c r="IL110" s="127"/>
      <c r="IM110" s="127"/>
      <c r="IN110" s="127"/>
      <c r="IO110" s="127"/>
      <c r="IP110" s="127"/>
      <c r="IQ110" s="127"/>
      <c r="IR110" s="127"/>
      <c r="IS110" s="127"/>
      <c r="IT110" s="127"/>
      <c r="IU110" s="127"/>
      <c r="IV110" s="127"/>
    </row>
    <row r="111" spans="1:256" ht="25.5" x14ac:dyDescent="0.2">
      <c r="A111" s="129"/>
      <c r="B111" s="129"/>
      <c r="C111" s="391" t="s">
        <v>510</v>
      </c>
      <c r="D111" s="423">
        <v>121401</v>
      </c>
      <c r="E111" s="390">
        <f>0+[1]táj.1!E111</f>
        <v>0</v>
      </c>
      <c r="F111" s="390">
        <f>0+[1]táj.1!F111</f>
        <v>0</v>
      </c>
      <c r="G111" s="390">
        <f>0+[1]táj.1!G111</f>
        <v>0</v>
      </c>
      <c r="H111" s="390">
        <f>0+[1]táj.1!H111</f>
        <v>0</v>
      </c>
      <c r="I111" s="390">
        <f>0+[1]táj.1!I111</f>
        <v>0</v>
      </c>
      <c r="J111" s="390">
        <f>0+[1]táj.1!J111</f>
        <v>0</v>
      </c>
      <c r="K111" s="390">
        <f>3000+[1]táj.1!K111</f>
        <v>3000</v>
      </c>
      <c r="L111" s="390">
        <f>0+[1]táj.1!L111</f>
        <v>0</v>
      </c>
      <c r="M111" s="390">
        <f>0+[1]táj.1!M111</f>
        <v>0</v>
      </c>
      <c r="N111" s="390">
        <f>0+[1]táj.1!N111</f>
        <v>0</v>
      </c>
      <c r="O111" s="390">
        <f>SUM(E111:N111)</f>
        <v>3000</v>
      </c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C111" s="127"/>
      <c r="DD111" s="127"/>
      <c r="DE111" s="127"/>
      <c r="DF111" s="127"/>
      <c r="DG111" s="127"/>
      <c r="DH111" s="127"/>
      <c r="DI111" s="127"/>
      <c r="DJ111" s="127"/>
      <c r="DK111" s="127"/>
      <c r="DL111" s="127"/>
      <c r="DM111" s="127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7"/>
      <c r="DZ111" s="127"/>
      <c r="EA111" s="127"/>
      <c r="EB111" s="127"/>
      <c r="EC111" s="127"/>
      <c r="ED111" s="127"/>
      <c r="EE111" s="127"/>
      <c r="EF111" s="127"/>
      <c r="EG111" s="127"/>
      <c r="EH111" s="127"/>
      <c r="EI111" s="127"/>
      <c r="EJ111" s="127"/>
      <c r="EK111" s="127"/>
      <c r="EL111" s="127"/>
      <c r="EM111" s="127"/>
      <c r="EN111" s="127"/>
      <c r="EO111" s="127"/>
      <c r="EP111" s="127"/>
      <c r="EQ111" s="127"/>
      <c r="ER111" s="127"/>
      <c r="ES111" s="127"/>
      <c r="ET111" s="127"/>
      <c r="EU111" s="127"/>
      <c r="EV111" s="127"/>
      <c r="EW111" s="127"/>
      <c r="EX111" s="127"/>
      <c r="EY111" s="127"/>
      <c r="EZ111" s="127"/>
      <c r="FA111" s="127"/>
      <c r="FB111" s="127"/>
      <c r="FC111" s="127"/>
      <c r="FD111" s="127"/>
      <c r="FE111" s="127"/>
      <c r="FF111" s="127"/>
      <c r="FG111" s="127"/>
      <c r="FH111" s="127"/>
      <c r="FI111" s="127"/>
      <c r="FJ111" s="12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127"/>
      <c r="FY111" s="127"/>
      <c r="FZ111" s="127"/>
      <c r="GA111" s="127"/>
      <c r="GB111" s="127"/>
      <c r="GC111" s="127"/>
      <c r="GD111" s="127"/>
      <c r="GE111" s="127"/>
      <c r="GF111" s="127"/>
      <c r="GG111" s="127"/>
      <c r="GH111" s="127"/>
      <c r="GI111" s="127"/>
      <c r="GJ111" s="127"/>
      <c r="GK111" s="127"/>
      <c r="GL111" s="127"/>
      <c r="GM111" s="127"/>
      <c r="GN111" s="127"/>
      <c r="GO111" s="127"/>
      <c r="GP111" s="127"/>
      <c r="GQ111" s="127"/>
      <c r="GR111" s="127"/>
      <c r="GS111" s="127"/>
      <c r="GT111" s="127"/>
      <c r="GU111" s="127"/>
      <c r="GV111" s="127"/>
      <c r="GW111" s="127"/>
      <c r="GX111" s="127"/>
      <c r="GY111" s="127"/>
      <c r="GZ111" s="127"/>
      <c r="HA111" s="127"/>
      <c r="HB111" s="127"/>
      <c r="HC111" s="127"/>
      <c r="HD111" s="127"/>
      <c r="HE111" s="127"/>
      <c r="HF111" s="127"/>
      <c r="HG111" s="127"/>
      <c r="HH111" s="127"/>
      <c r="HI111" s="127"/>
      <c r="HJ111" s="127"/>
      <c r="HK111" s="127"/>
      <c r="HL111" s="127"/>
      <c r="HM111" s="127"/>
      <c r="HN111" s="127"/>
      <c r="HO111" s="127"/>
      <c r="HP111" s="127"/>
      <c r="HQ111" s="127"/>
      <c r="HR111" s="127"/>
      <c r="HS111" s="127"/>
      <c r="HT111" s="127"/>
      <c r="HU111" s="127"/>
      <c r="HV111" s="127"/>
      <c r="HW111" s="127"/>
      <c r="HX111" s="127"/>
      <c r="HY111" s="127"/>
      <c r="HZ111" s="127"/>
      <c r="IA111" s="127"/>
      <c r="IB111" s="127"/>
      <c r="IC111" s="127"/>
      <c r="ID111" s="127"/>
      <c r="IE111" s="127"/>
      <c r="IF111" s="127"/>
      <c r="IG111" s="127"/>
      <c r="IH111" s="127"/>
      <c r="II111" s="127"/>
      <c r="IJ111" s="127"/>
      <c r="IK111" s="127"/>
      <c r="IL111" s="127"/>
      <c r="IM111" s="127"/>
      <c r="IN111" s="127"/>
      <c r="IO111" s="127"/>
      <c r="IP111" s="127"/>
      <c r="IQ111" s="127"/>
      <c r="IR111" s="127"/>
      <c r="IS111" s="127"/>
      <c r="IT111" s="127"/>
      <c r="IU111" s="127"/>
      <c r="IV111" s="127"/>
    </row>
    <row r="112" spans="1:256" ht="24" x14ac:dyDescent="0.2">
      <c r="A112" s="129"/>
      <c r="B112" s="129"/>
      <c r="C112" s="684" t="s">
        <v>511</v>
      </c>
      <c r="D112" s="392"/>
      <c r="E112" s="390"/>
      <c r="F112" s="390"/>
      <c r="G112" s="390"/>
      <c r="H112" s="390"/>
      <c r="I112" s="390"/>
      <c r="J112" s="390"/>
      <c r="K112" s="390"/>
      <c r="L112" s="390"/>
      <c r="M112" s="390"/>
      <c r="N112" s="390"/>
      <c r="O112" s="390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7"/>
      <c r="EI112" s="127"/>
      <c r="EJ112" s="127"/>
      <c r="EK112" s="127"/>
      <c r="EL112" s="127"/>
      <c r="EM112" s="127"/>
      <c r="EN112" s="127"/>
      <c r="EO112" s="127"/>
      <c r="EP112" s="127"/>
      <c r="EQ112" s="127"/>
      <c r="ER112" s="127"/>
      <c r="ES112" s="127"/>
      <c r="ET112" s="127"/>
      <c r="EU112" s="127"/>
      <c r="EV112" s="127"/>
      <c r="EW112" s="127"/>
      <c r="EX112" s="127"/>
      <c r="EY112" s="127"/>
      <c r="EZ112" s="127"/>
      <c r="FA112" s="127"/>
      <c r="FB112" s="127"/>
      <c r="FC112" s="127"/>
      <c r="FD112" s="127"/>
      <c r="FE112" s="127"/>
      <c r="FF112" s="127"/>
      <c r="FG112" s="127"/>
      <c r="FH112" s="127"/>
      <c r="FI112" s="127"/>
      <c r="FJ112" s="12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127"/>
      <c r="FY112" s="127"/>
      <c r="FZ112" s="127"/>
      <c r="GA112" s="127"/>
      <c r="GB112" s="127"/>
      <c r="GC112" s="127"/>
      <c r="GD112" s="127"/>
      <c r="GE112" s="127"/>
      <c r="GF112" s="127"/>
      <c r="GG112" s="127"/>
      <c r="GH112" s="127"/>
      <c r="GI112" s="127"/>
      <c r="GJ112" s="127"/>
      <c r="GK112" s="127"/>
      <c r="GL112" s="127"/>
      <c r="GM112" s="127"/>
      <c r="GN112" s="127"/>
      <c r="GO112" s="127"/>
      <c r="GP112" s="127"/>
      <c r="GQ112" s="127"/>
      <c r="GR112" s="127"/>
      <c r="GS112" s="127"/>
      <c r="GT112" s="127"/>
      <c r="GU112" s="127"/>
      <c r="GV112" s="127"/>
      <c r="GW112" s="127"/>
      <c r="GX112" s="127"/>
      <c r="GY112" s="127"/>
      <c r="GZ112" s="127"/>
      <c r="HA112" s="127"/>
      <c r="HB112" s="127"/>
      <c r="HC112" s="127"/>
      <c r="HD112" s="127"/>
      <c r="HE112" s="127"/>
      <c r="HF112" s="127"/>
      <c r="HG112" s="127"/>
      <c r="HH112" s="127"/>
      <c r="HI112" s="127"/>
      <c r="HJ112" s="127"/>
      <c r="HK112" s="127"/>
      <c r="HL112" s="127"/>
      <c r="HM112" s="127"/>
      <c r="HN112" s="127"/>
      <c r="HO112" s="127"/>
      <c r="HP112" s="127"/>
      <c r="HQ112" s="127"/>
      <c r="HR112" s="127"/>
      <c r="HS112" s="127"/>
      <c r="HT112" s="127"/>
      <c r="HU112" s="127"/>
      <c r="HV112" s="127"/>
      <c r="HW112" s="127"/>
      <c r="HX112" s="127"/>
      <c r="HY112" s="127"/>
      <c r="HZ112" s="127"/>
      <c r="IA112" s="127"/>
      <c r="IB112" s="127"/>
      <c r="IC112" s="127"/>
      <c r="ID112" s="127"/>
      <c r="IE112" s="127"/>
      <c r="IF112" s="127"/>
      <c r="IG112" s="127"/>
      <c r="IH112" s="127"/>
      <c r="II112" s="127"/>
      <c r="IJ112" s="127"/>
      <c r="IK112" s="127"/>
      <c r="IL112" s="127"/>
      <c r="IM112" s="127"/>
      <c r="IN112" s="127"/>
      <c r="IO112" s="127"/>
      <c r="IP112" s="127"/>
      <c r="IQ112" s="127"/>
      <c r="IR112" s="127"/>
      <c r="IS112" s="127"/>
      <c r="IT112" s="127"/>
      <c r="IU112" s="127"/>
      <c r="IV112" s="127"/>
    </row>
    <row r="113" spans="1:256" x14ac:dyDescent="0.2">
      <c r="A113" s="129"/>
      <c r="B113" s="129"/>
      <c r="C113" s="438" t="s">
        <v>512</v>
      </c>
      <c r="D113" s="423">
        <v>176902</v>
      </c>
      <c r="E113" s="390">
        <f>0+[1]táj.1!E113</f>
        <v>0</v>
      </c>
      <c r="F113" s="390">
        <f>0+[1]táj.1!F113</f>
        <v>0</v>
      </c>
      <c r="G113" s="390">
        <f>0+[1]táj.1!G113</f>
        <v>0</v>
      </c>
      <c r="H113" s="390">
        <f>0+[1]táj.1!H113</f>
        <v>0</v>
      </c>
      <c r="I113" s="390">
        <f>0+[1]táj.1!I113</f>
        <v>0</v>
      </c>
      <c r="J113" s="390">
        <f>0+[1]táj.1!J113</f>
        <v>0</v>
      </c>
      <c r="K113" s="390">
        <f>0+[1]táj.1!K113</f>
        <v>0</v>
      </c>
      <c r="L113" s="390">
        <f>0+[1]táj.1!L113</f>
        <v>0</v>
      </c>
      <c r="M113" s="390">
        <f>120445+[1]táj.1!M113</f>
        <v>120537</v>
      </c>
      <c r="N113" s="390">
        <f>117575+[1]táj.1!N113</f>
        <v>117483</v>
      </c>
      <c r="O113" s="390">
        <f>SUM(E113:N113)</f>
        <v>238020</v>
      </c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  <c r="DI113" s="127"/>
      <c r="DJ113" s="127"/>
      <c r="DK113" s="127"/>
      <c r="DL113" s="127"/>
      <c r="DM113" s="127"/>
      <c r="DN113" s="127"/>
      <c r="DO113" s="127"/>
      <c r="DP113" s="127"/>
      <c r="DQ113" s="127"/>
      <c r="DR113" s="127"/>
      <c r="DS113" s="127"/>
      <c r="DT113" s="127"/>
      <c r="DU113" s="127"/>
      <c r="DV113" s="127"/>
      <c r="DW113" s="127"/>
      <c r="DX113" s="127"/>
      <c r="DY113" s="127"/>
      <c r="DZ113" s="127"/>
      <c r="EA113" s="127"/>
      <c r="EB113" s="127"/>
      <c r="EC113" s="127"/>
      <c r="ED113" s="127"/>
      <c r="EE113" s="127"/>
      <c r="EF113" s="127"/>
      <c r="EG113" s="127"/>
      <c r="EH113" s="127"/>
      <c r="EI113" s="127"/>
      <c r="EJ113" s="127"/>
      <c r="EK113" s="127"/>
      <c r="EL113" s="127"/>
      <c r="EM113" s="127"/>
      <c r="EN113" s="127"/>
      <c r="EO113" s="127"/>
      <c r="EP113" s="127"/>
      <c r="EQ113" s="127"/>
      <c r="ER113" s="127"/>
      <c r="ES113" s="127"/>
      <c r="ET113" s="127"/>
      <c r="EU113" s="127"/>
      <c r="EV113" s="127"/>
      <c r="EW113" s="127"/>
      <c r="EX113" s="127"/>
      <c r="EY113" s="127"/>
      <c r="EZ113" s="127"/>
      <c r="FA113" s="127"/>
      <c r="FB113" s="127"/>
      <c r="FC113" s="127"/>
      <c r="FD113" s="127"/>
      <c r="FE113" s="127"/>
      <c r="FF113" s="127"/>
      <c r="FG113" s="127"/>
      <c r="FH113" s="127"/>
      <c r="FI113" s="127"/>
      <c r="FJ113" s="12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127"/>
      <c r="FY113" s="127"/>
      <c r="FZ113" s="127"/>
      <c r="GA113" s="127"/>
      <c r="GB113" s="127"/>
      <c r="GC113" s="127"/>
      <c r="GD113" s="127"/>
      <c r="GE113" s="127"/>
      <c r="GF113" s="127"/>
      <c r="GG113" s="127"/>
      <c r="GH113" s="127"/>
      <c r="GI113" s="127"/>
      <c r="GJ113" s="127"/>
      <c r="GK113" s="127"/>
      <c r="GL113" s="127"/>
      <c r="GM113" s="127"/>
      <c r="GN113" s="127"/>
      <c r="GO113" s="127"/>
      <c r="GP113" s="127"/>
      <c r="GQ113" s="127"/>
      <c r="GR113" s="127"/>
      <c r="GS113" s="127"/>
      <c r="GT113" s="127"/>
      <c r="GU113" s="127"/>
      <c r="GV113" s="127"/>
      <c r="GW113" s="127"/>
      <c r="GX113" s="127"/>
      <c r="GY113" s="127"/>
      <c r="GZ113" s="127"/>
      <c r="HA113" s="127"/>
      <c r="HB113" s="127"/>
      <c r="HC113" s="127"/>
      <c r="HD113" s="127"/>
      <c r="HE113" s="127"/>
      <c r="HF113" s="127"/>
      <c r="HG113" s="127"/>
      <c r="HH113" s="127"/>
      <c r="HI113" s="127"/>
      <c r="HJ113" s="127"/>
      <c r="HK113" s="127"/>
      <c r="HL113" s="127"/>
      <c r="HM113" s="127"/>
      <c r="HN113" s="127"/>
      <c r="HO113" s="127"/>
      <c r="HP113" s="127"/>
      <c r="HQ113" s="127"/>
      <c r="HR113" s="127"/>
      <c r="HS113" s="127"/>
      <c r="HT113" s="127"/>
      <c r="HU113" s="127"/>
      <c r="HV113" s="127"/>
      <c r="HW113" s="127"/>
      <c r="HX113" s="127"/>
      <c r="HY113" s="127"/>
      <c r="HZ113" s="127"/>
      <c r="IA113" s="127"/>
      <c r="IB113" s="127"/>
      <c r="IC113" s="127"/>
      <c r="ID113" s="127"/>
      <c r="IE113" s="127"/>
      <c r="IF113" s="127"/>
      <c r="IG113" s="127"/>
      <c r="IH113" s="127"/>
      <c r="II113" s="127"/>
      <c r="IJ113" s="127"/>
      <c r="IK113" s="127"/>
      <c r="IL113" s="127"/>
      <c r="IM113" s="127"/>
      <c r="IN113" s="127"/>
      <c r="IO113" s="127"/>
      <c r="IP113" s="127"/>
      <c r="IQ113" s="127"/>
      <c r="IR113" s="127"/>
      <c r="IS113" s="127"/>
      <c r="IT113" s="127"/>
      <c r="IU113" s="127"/>
      <c r="IV113" s="127"/>
    </row>
    <row r="114" spans="1:256" ht="13.5" x14ac:dyDescent="0.2">
      <c r="A114" s="133"/>
      <c r="B114" s="133"/>
      <c r="C114" s="419" t="s">
        <v>513</v>
      </c>
      <c r="D114" s="431"/>
      <c r="E114" s="396">
        <f t="shared" ref="E114:O114" si="6">SUM(E90:E113)</f>
        <v>0</v>
      </c>
      <c r="F114" s="396">
        <f t="shared" si="6"/>
        <v>0</v>
      </c>
      <c r="G114" s="396">
        <f t="shared" si="6"/>
        <v>0</v>
      </c>
      <c r="H114" s="396">
        <f t="shared" si="6"/>
        <v>431671</v>
      </c>
      <c r="I114" s="396">
        <f t="shared" si="6"/>
        <v>78955</v>
      </c>
      <c r="J114" s="396">
        <f t="shared" si="6"/>
        <v>0</v>
      </c>
      <c r="K114" s="396">
        <f t="shared" si="6"/>
        <v>3000</v>
      </c>
      <c r="L114" s="396">
        <f t="shared" si="6"/>
        <v>0</v>
      </c>
      <c r="M114" s="396">
        <f t="shared" si="6"/>
        <v>120537</v>
      </c>
      <c r="N114" s="396">
        <f t="shared" si="6"/>
        <v>117483</v>
      </c>
      <c r="O114" s="396">
        <f t="shared" si="6"/>
        <v>751646</v>
      </c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  <c r="CU114" s="127"/>
      <c r="CV114" s="127"/>
      <c r="CW114" s="127"/>
      <c r="CX114" s="127"/>
      <c r="CY114" s="127"/>
      <c r="CZ114" s="127"/>
      <c r="DA114" s="127"/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7"/>
      <c r="EI114" s="127"/>
      <c r="EJ114" s="127"/>
      <c r="EK114" s="127"/>
      <c r="EL114" s="127"/>
      <c r="EM114" s="127"/>
      <c r="EN114" s="127"/>
      <c r="EO114" s="127"/>
      <c r="EP114" s="127"/>
      <c r="EQ114" s="127"/>
      <c r="ER114" s="127"/>
      <c r="ES114" s="127"/>
      <c r="ET114" s="127"/>
      <c r="EU114" s="127"/>
      <c r="EV114" s="127"/>
      <c r="EW114" s="127"/>
      <c r="EX114" s="127"/>
      <c r="EY114" s="127"/>
      <c r="EZ114" s="127"/>
      <c r="FA114" s="127"/>
      <c r="FB114" s="127"/>
      <c r="FC114" s="127"/>
      <c r="FD114" s="127"/>
      <c r="FE114" s="127"/>
      <c r="FF114" s="127"/>
      <c r="FG114" s="127"/>
      <c r="FH114" s="127"/>
      <c r="FI114" s="127"/>
      <c r="FJ114" s="12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7"/>
      <c r="FY114" s="127"/>
      <c r="FZ114" s="127"/>
      <c r="GA114" s="127"/>
      <c r="GB114" s="127"/>
      <c r="GC114" s="127"/>
      <c r="GD114" s="127"/>
      <c r="GE114" s="127"/>
      <c r="GF114" s="127"/>
      <c r="GG114" s="127"/>
      <c r="GH114" s="127"/>
      <c r="GI114" s="127"/>
      <c r="GJ114" s="127"/>
      <c r="GK114" s="127"/>
      <c r="GL114" s="127"/>
      <c r="GM114" s="127"/>
      <c r="GN114" s="127"/>
      <c r="GO114" s="127"/>
      <c r="GP114" s="127"/>
      <c r="GQ114" s="127"/>
      <c r="GR114" s="127"/>
      <c r="GS114" s="127"/>
      <c r="GT114" s="127"/>
      <c r="GU114" s="127"/>
      <c r="GV114" s="127"/>
      <c r="GW114" s="127"/>
      <c r="GX114" s="127"/>
      <c r="GY114" s="127"/>
      <c r="GZ114" s="127"/>
      <c r="HA114" s="127"/>
      <c r="HB114" s="127"/>
      <c r="HC114" s="127"/>
      <c r="HD114" s="127"/>
      <c r="HE114" s="127"/>
      <c r="HF114" s="127"/>
      <c r="HG114" s="127"/>
      <c r="HH114" s="127"/>
      <c r="HI114" s="127"/>
      <c r="HJ114" s="127"/>
      <c r="HK114" s="127"/>
      <c r="HL114" s="127"/>
      <c r="HM114" s="127"/>
      <c r="HN114" s="127"/>
      <c r="HO114" s="127"/>
      <c r="HP114" s="127"/>
      <c r="HQ114" s="127"/>
      <c r="HR114" s="127"/>
      <c r="HS114" s="127"/>
      <c r="HT114" s="127"/>
      <c r="HU114" s="127"/>
      <c r="HV114" s="127"/>
      <c r="HW114" s="127"/>
      <c r="HX114" s="127"/>
      <c r="HY114" s="127"/>
      <c r="HZ114" s="127"/>
      <c r="IA114" s="127"/>
      <c r="IB114" s="127"/>
      <c r="IC114" s="127"/>
      <c r="ID114" s="127"/>
      <c r="IE114" s="127"/>
      <c r="IF114" s="127"/>
      <c r="IG114" s="127"/>
      <c r="IH114" s="127"/>
      <c r="II114" s="127"/>
      <c r="IJ114" s="127"/>
      <c r="IK114" s="127"/>
      <c r="IL114" s="127"/>
      <c r="IM114" s="127"/>
      <c r="IN114" s="127"/>
      <c r="IO114" s="127"/>
      <c r="IP114" s="127"/>
      <c r="IQ114" s="127"/>
      <c r="IR114" s="127"/>
      <c r="IS114" s="127"/>
      <c r="IT114" s="127"/>
      <c r="IU114" s="127"/>
      <c r="IV114" s="127"/>
    </row>
    <row r="115" spans="1:256" ht="13.5" x14ac:dyDescent="0.2">
      <c r="A115" s="130">
        <v>1</v>
      </c>
      <c r="B115" s="130">
        <v>18</v>
      </c>
      <c r="C115" s="391" t="s">
        <v>514</v>
      </c>
      <c r="D115" s="433"/>
      <c r="E115" s="398"/>
      <c r="F115" s="398"/>
      <c r="G115" s="398"/>
      <c r="H115" s="398"/>
      <c r="I115" s="398"/>
      <c r="J115" s="398"/>
      <c r="K115" s="398"/>
      <c r="L115" s="398"/>
      <c r="M115" s="398"/>
      <c r="N115" s="398"/>
      <c r="O115" s="398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  <c r="EJ115" s="127"/>
      <c r="EK115" s="127"/>
      <c r="EL115" s="127"/>
      <c r="EM115" s="127"/>
      <c r="EN115" s="127"/>
      <c r="EO115" s="127"/>
      <c r="EP115" s="127"/>
      <c r="EQ115" s="127"/>
      <c r="ER115" s="127"/>
      <c r="ES115" s="127"/>
      <c r="ET115" s="127"/>
      <c r="EU115" s="127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7"/>
      <c r="FZ115" s="127"/>
      <c r="GA115" s="127"/>
      <c r="GB115" s="127"/>
      <c r="GC115" s="127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  <c r="GW115" s="127"/>
      <c r="GX115" s="127"/>
      <c r="GY115" s="127"/>
      <c r="GZ115" s="127"/>
      <c r="HA115" s="127"/>
      <c r="HB115" s="127"/>
      <c r="HC115" s="127"/>
      <c r="HD115" s="127"/>
      <c r="HE115" s="127"/>
      <c r="HF115" s="127"/>
      <c r="HG115" s="127"/>
      <c r="HH115" s="127"/>
      <c r="HI115" s="127"/>
      <c r="HJ115" s="127"/>
      <c r="HK115" s="127"/>
      <c r="HL115" s="127"/>
      <c r="HM115" s="127"/>
      <c r="HN115" s="127"/>
      <c r="HO115" s="127"/>
      <c r="HP115" s="127"/>
      <c r="HQ115" s="127"/>
      <c r="HR115" s="127"/>
      <c r="HS115" s="127"/>
      <c r="HT115" s="127"/>
      <c r="HU115" s="127"/>
      <c r="HV115" s="127"/>
      <c r="HW115" s="127"/>
      <c r="HX115" s="127"/>
      <c r="HY115" s="127"/>
      <c r="HZ115" s="127"/>
      <c r="IA115" s="127"/>
      <c r="IB115" s="127"/>
      <c r="IC115" s="127"/>
      <c r="ID115" s="127"/>
      <c r="IE115" s="127"/>
      <c r="IF115" s="127"/>
      <c r="IG115" s="127"/>
      <c r="IH115" s="127"/>
      <c r="II115" s="127"/>
      <c r="IJ115" s="127"/>
      <c r="IK115" s="127"/>
      <c r="IL115" s="127"/>
      <c r="IM115" s="127"/>
      <c r="IN115" s="127"/>
      <c r="IO115" s="127"/>
      <c r="IP115" s="127"/>
      <c r="IQ115" s="127"/>
      <c r="IR115" s="127"/>
      <c r="IS115" s="127"/>
      <c r="IT115" s="127"/>
      <c r="IU115" s="127"/>
      <c r="IV115" s="127"/>
    </row>
    <row r="116" spans="1:256" ht="25.5" x14ac:dyDescent="0.2">
      <c r="A116" s="129"/>
      <c r="B116" s="129"/>
      <c r="C116" s="406" t="s">
        <v>451</v>
      </c>
      <c r="D116" s="421"/>
      <c r="E116" s="418"/>
      <c r="F116" s="418"/>
      <c r="G116" s="418"/>
      <c r="H116" s="390"/>
      <c r="I116" s="390"/>
      <c r="J116" s="390"/>
      <c r="K116" s="390"/>
      <c r="L116" s="390"/>
      <c r="M116" s="390"/>
      <c r="N116" s="390"/>
      <c r="O116" s="390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127"/>
      <c r="DF116" s="127"/>
      <c r="DG116" s="127"/>
      <c r="DH116" s="127"/>
      <c r="DI116" s="127"/>
      <c r="DJ116" s="127"/>
      <c r="DK116" s="127"/>
      <c r="DL116" s="127"/>
      <c r="DM116" s="127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27"/>
      <c r="EA116" s="127"/>
      <c r="EB116" s="127"/>
      <c r="EC116" s="127"/>
      <c r="ED116" s="127"/>
      <c r="EE116" s="127"/>
      <c r="EF116" s="127"/>
      <c r="EG116" s="127"/>
      <c r="EH116" s="127"/>
      <c r="EI116" s="127"/>
      <c r="EJ116" s="127"/>
      <c r="EK116" s="127"/>
      <c r="EL116" s="127"/>
      <c r="EM116" s="127"/>
      <c r="EN116" s="127"/>
      <c r="EO116" s="127"/>
      <c r="EP116" s="127"/>
      <c r="EQ116" s="127"/>
      <c r="ER116" s="127"/>
      <c r="ES116" s="127"/>
      <c r="ET116" s="127"/>
      <c r="EU116" s="127"/>
      <c r="EV116" s="127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27"/>
      <c r="FJ116" s="12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7"/>
      <c r="FY116" s="127"/>
      <c r="FZ116" s="127"/>
      <c r="GA116" s="127"/>
      <c r="GB116" s="127"/>
      <c r="GC116" s="127"/>
      <c r="GD116" s="127"/>
      <c r="GE116" s="127"/>
      <c r="GF116" s="127"/>
      <c r="GG116" s="127"/>
      <c r="GH116" s="127"/>
      <c r="GI116" s="127"/>
      <c r="GJ116" s="127"/>
      <c r="GK116" s="127"/>
      <c r="GL116" s="127"/>
      <c r="GM116" s="127"/>
      <c r="GN116" s="127"/>
      <c r="GO116" s="127"/>
      <c r="GP116" s="127"/>
      <c r="GQ116" s="127"/>
      <c r="GR116" s="127"/>
      <c r="GS116" s="127"/>
      <c r="GT116" s="127"/>
      <c r="GU116" s="127"/>
      <c r="GV116" s="127"/>
      <c r="GW116" s="127"/>
      <c r="GX116" s="127"/>
      <c r="GY116" s="127"/>
      <c r="GZ116" s="127"/>
      <c r="HA116" s="127"/>
      <c r="HB116" s="127"/>
      <c r="HC116" s="127"/>
      <c r="HD116" s="127"/>
      <c r="HE116" s="127"/>
      <c r="HF116" s="127"/>
      <c r="HG116" s="127"/>
      <c r="HH116" s="127"/>
      <c r="HI116" s="127"/>
      <c r="HJ116" s="127"/>
      <c r="HK116" s="127"/>
      <c r="HL116" s="127"/>
      <c r="HM116" s="127"/>
      <c r="HN116" s="127"/>
      <c r="HO116" s="127"/>
      <c r="HP116" s="127"/>
      <c r="HQ116" s="127"/>
      <c r="HR116" s="127"/>
      <c r="HS116" s="127"/>
      <c r="HT116" s="127"/>
      <c r="HU116" s="127"/>
      <c r="HV116" s="127"/>
      <c r="HW116" s="127"/>
      <c r="HX116" s="127"/>
      <c r="HY116" s="127"/>
      <c r="HZ116" s="127"/>
      <c r="IA116" s="127"/>
      <c r="IB116" s="127"/>
      <c r="IC116" s="127"/>
      <c r="ID116" s="127"/>
      <c r="IE116" s="127"/>
      <c r="IF116" s="127"/>
      <c r="IG116" s="127"/>
      <c r="IH116" s="127"/>
      <c r="II116" s="127"/>
      <c r="IJ116" s="127"/>
      <c r="IK116" s="127"/>
      <c r="IL116" s="127"/>
      <c r="IM116" s="127"/>
      <c r="IN116" s="127"/>
      <c r="IO116" s="127"/>
      <c r="IP116" s="127"/>
      <c r="IQ116" s="127"/>
      <c r="IR116" s="127"/>
      <c r="IS116" s="127"/>
      <c r="IT116" s="127"/>
      <c r="IU116" s="127"/>
      <c r="IV116" s="127"/>
    </row>
    <row r="117" spans="1:256" ht="38.25" x14ac:dyDescent="0.2">
      <c r="A117" s="129"/>
      <c r="B117" s="129"/>
      <c r="C117" s="406" t="s">
        <v>515</v>
      </c>
      <c r="D117" s="421" t="s">
        <v>516</v>
      </c>
      <c r="E117" s="418">
        <f>0+[1]táj.1!E117</f>
        <v>0</v>
      </c>
      <c r="F117" s="418">
        <f>0+[1]táj.1!F117</f>
        <v>0</v>
      </c>
      <c r="G117" s="418">
        <f>0+[1]táj.1!G117</f>
        <v>0</v>
      </c>
      <c r="H117" s="418">
        <f>25400+[1]táj.1!H117</f>
        <v>25672</v>
      </c>
      <c r="I117" s="418">
        <f>0+[1]táj.1!I117</f>
        <v>0</v>
      </c>
      <c r="J117" s="418">
        <f>0+[1]táj.1!J117</f>
        <v>0</v>
      </c>
      <c r="K117" s="418">
        <f>0+[1]táj.1!K117</f>
        <v>0</v>
      </c>
      <c r="L117" s="418">
        <f>0+[1]táj.1!L117</f>
        <v>0</v>
      </c>
      <c r="M117" s="418">
        <f>0+[1]táj.1!M117</f>
        <v>0</v>
      </c>
      <c r="N117" s="418">
        <f>0+[1]táj.1!N117</f>
        <v>0</v>
      </c>
      <c r="O117" s="390">
        <f t="shared" ref="O117:O122" si="7">SUM(E117:N117)</f>
        <v>25672</v>
      </c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7"/>
      <c r="CM117" s="127"/>
      <c r="CN117" s="127"/>
      <c r="CO117" s="127"/>
      <c r="CP117" s="127"/>
      <c r="CQ117" s="127"/>
      <c r="CR117" s="127"/>
      <c r="CS117" s="127"/>
      <c r="CT117" s="127"/>
      <c r="CU117" s="127"/>
      <c r="CV117" s="127"/>
      <c r="CW117" s="127"/>
      <c r="CX117" s="127"/>
      <c r="CY117" s="127"/>
      <c r="CZ117" s="127"/>
      <c r="DA117" s="127"/>
      <c r="DB117" s="127"/>
      <c r="DC117" s="127"/>
      <c r="DD117" s="127"/>
      <c r="DE117" s="127"/>
      <c r="DF117" s="127"/>
      <c r="DG117" s="127"/>
      <c r="DH117" s="127"/>
      <c r="DI117" s="127"/>
      <c r="DJ117" s="127"/>
      <c r="DK117" s="127"/>
      <c r="DL117" s="127"/>
      <c r="DM117" s="127"/>
      <c r="DN117" s="127"/>
      <c r="DO117" s="127"/>
      <c r="DP117" s="127"/>
      <c r="DQ117" s="127"/>
      <c r="DR117" s="127"/>
      <c r="DS117" s="127"/>
      <c r="DT117" s="127"/>
      <c r="DU117" s="127"/>
      <c r="DV117" s="127"/>
      <c r="DW117" s="127"/>
      <c r="DX117" s="127"/>
      <c r="DY117" s="127"/>
      <c r="DZ117" s="127"/>
      <c r="EA117" s="127"/>
      <c r="EB117" s="127"/>
      <c r="EC117" s="127"/>
      <c r="ED117" s="127"/>
      <c r="EE117" s="127"/>
      <c r="EF117" s="127"/>
      <c r="EG117" s="127"/>
      <c r="EH117" s="127"/>
      <c r="EI117" s="127"/>
      <c r="EJ117" s="127"/>
      <c r="EK117" s="127"/>
      <c r="EL117" s="127"/>
      <c r="EM117" s="127"/>
      <c r="EN117" s="127"/>
      <c r="EO117" s="127"/>
      <c r="EP117" s="127"/>
      <c r="EQ117" s="127"/>
      <c r="ER117" s="127"/>
      <c r="ES117" s="127"/>
      <c r="ET117" s="127"/>
      <c r="EU117" s="127"/>
      <c r="EV117" s="127"/>
      <c r="EW117" s="127"/>
      <c r="EX117" s="127"/>
      <c r="EY117" s="127"/>
      <c r="EZ117" s="127"/>
      <c r="FA117" s="127"/>
      <c r="FB117" s="127"/>
      <c r="FC117" s="127"/>
      <c r="FD117" s="127"/>
      <c r="FE117" s="127"/>
      <c r="FF117" s="127"/>
      <c r="FG117" s="127"/>
      <c r="FH117" s="127"/>
      <c r="FI117" s="127"/>
      <c r="FJ117" s="127"/>
      <c r="FK117" s="127"/>
      <c r="FL117" s="127"/>
      <c r="FM117" s="127"/>
      <c r="FN117" s="127"/>
      <c r="FO117" s="127"/>
      <c r="FP117" s="127"/>
      <c r="FQ117" s="127"/>
      <c r="FR117" s="127"/>
      <c r="FS117" s="127"/>
      <c r="FT117" s="127"/>
      <c r="FU117" s="127"/>
      <c r="FV117" s="127"/>
      <c r="FW117" s="127"/>
      <c r="FX117" s="127"/>
      <c r="FY117" s="127"/>
      <c r="FZ117" s="127"/>
      <c r="GA117" s="127"/>
      <c r="GB117" s="127"/>
      <c r="GC117" s="127"/>
      <c r="GD117" s="127"/>
      <c r="GE117" s="127"/>
      <c r="GF117" s="127"/>
      <c r="GG117" s="127"/>
      <c r="GH117" s="127"/>
      <c r="GI117" s="127"/>
      <c r="GJ117" s="127"/>
      <c r="GK117" s="127"/>
      <c r="GL117" s="127"/>
      <c r="GM117" s="127"/>
      <c r="GN117" s="127"/>
      <c r="GO117" s="127"/>
      <c r="GP117" s="127"/>
      <c r="GQ117" s="127"/>
      <c r="GR117" s="127"/>
      <c r="GS117" s="127"/>
      <c r="GT117" s="127"/>
      <c r="GU117" s="127"/>
      <c r="GV117" s="127"/>
      <c r="GW117" s="127"/>
      <c r="GX117" s="127"/>
      <c r="GY117" s="127"/>
      <c r="GZ117" s="127"/>
      <c r="HA117" s="127"/>
      <c r="HB117" s="127"/>
      <c r="HC117" s="127"/>
      <c r="HD117" s="127"/>
      <c r="HE117" s="127"/>
      <c r="HF117" s="127"/>
      <c r="HG117" s="127"/>
      <c r="HH117" s="127"/>
      <c r="HI117" s="127"/>
      <c r="HJ117" s="127"/>
      <c r="HK117" s="127"/>
      <c r="HL117" s="127"/>
      <c r="HM117" s="127"/>
      <c r="HN117" s="127"/>
      <c r="HO117" s="127"/>
      <c r="HP117" s="127"/>
      <c r="HQ117" s="127"/>
      <c r="HR117" s="127"/>
      <c r="HS117" s="127"/>
      <c r="HT117" s="127"/>
      <c r="HU117" s="127"/>
      <c r="HV117" s="127"/>
      <c r="HW117" s="127"/>
      <c r="HX117" s="127"/>
      <c r="HY117" s="127"/>
      <c r="HZ117" s="127"/>
      <c r="IA117" s="127"/>
      <c r="IB117" s="127"/>
      <c r="IC117" s="127"/>
      <c r="ID117" s="127"/>
      <c r="IE117" s="127"/>
      <c r="IF117" s="127"/>
      <c r="IG117" s="127"/>
      <c r="IH117" s="127"/>
      <c r="II117" s="127"/>
      <c r="IJ117" s="127"/>
      <c r="IK117" s="127"/>
      <c r="IL117" s="127"/>
      <c r="IM117" s="127"/>
      <c r="IN117" s="127"/>
      <c r="IO117" s="127"/>
      <c r="IP117" s="127"/>
      <c r="IQ117" s="127"/>
      <c r="IR117" s="127"/>
      <c r="IS117" s="127"/>
      <c r="IT117" s="127"/>
      <c r="IU117" s="127"/>
      <c r="IV117" s="127"/>
    </row>
    <row r="118" spans="1:256" x14ac:dyDescent="0.2">
      <c r="A118" s="129"/>
      <c r="B118" s="129"/>
      <c r="C118" s="391" t="s">
        <v>517</v>
      </c>
      <c r="D118" s="423">
        <v>181905</v>
      </c>
      <c r="E118" s="418">
        <f>0+[1]táj.1!E118</f>
        <v>0</v>
      </c>
      <c r="F118" s="418">
        <f>0+[1]táj.1!F118</f>
        <v>0</v>
      </c>
      <c r="G118" s="418">
        <f>0+[1]táj.1!G118</f>
        <v>0</v>
      </c>
      <c r="H118" s="418">
        <f>17000+[1]táj.1!H118</f>
        <v>17000</v>
      </c>
      <c r="I118" s="418">
        <f>0+[1]táj.1!I118</f>
        <v>0</v>
      </c>
      <c r="J118" s="418">
        <f>0+[1]táj.1!J118</f>
        <v>0</v>
      </c>
      <c r="K118" s="418">
        <f>0+[1]táj.1!K118</f>
        <v>0</v>
      </c>
      <c r="L118" s="418">
        <f>0+[1]táj.1!L118</f>
        <v>0</v>
      </c>
      <c r="M118" s="418">
        <f>0+[1]táj.1!M118</f>
        <v>0</v>
      </c>
      <c r="N118" s="418">
        <f>0+[1]táj.1!N118</f>
        <v>0</v>
      </c>
      <c r="O118" s="390">
        <f t="shared" si="7"/>
        <v>17000</v>
      </c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7"/>
      <c r="EI118" s="127"/>
      <c r="EJ118" s="127"/>
      <c r="EK118" s="127"/>
      <c r="EL118" s="127"/>
      <c r="EM118" s="127"/>
      <c r="EN118" s="127"/>
      <c r="EO118" s="127"/>
      <c r="EP118" s="127"/>
      <c r="EQ118" s="127"/>
      <c r="ER118" s="127"/>
      <c r="ES118" s="127"/>
      <c r="ET118" s="127"/>
      <c r="EU118" s="127"/>
      <c r="EV118" s="127"/>
      <c r="EW118" s="127"/>
      <c r="EX118" s="127"/>
      <c r="EY118" s="127"/>
      <c r="EZ118" s="127"/>
      <c r="FA118" s="127"/>
      <c r="FB118" s="127"/>
      <c r="FC118" s="127"/>
      <c r="FD118" s="127"/>
      <c r="FE118" s="127"/>
      <c r="FF118" s="127"/>
      <c r="FG118" s="127"/>
      <c r="FH118" s="127"/>
      <c r="FI118" s="127"/>
      <c r="FJ118" s="127"/>
      <c r="FK118" s="127"/>
      <c r="FL118" s="127"/>
      <c r="FM118" s="127"/>
      <c r="FN118" s="127"/>
      <c r="FO118" s="127"/>
      <c r="FP118" s="127"/>
      <c r="FQ118" s="127"/>
      <c r="FR118" s="127"/>
      <c r="FS118" s="127"/>
      <c r="FT118" s="127"/>
      <c r="FU118" s="127"/>
      <c r="FV118" s="127"/>
      <c r="FW118" s="127"/>
      <c r="FX118" s="127"/>
      <c r="FY118" s="127"/>
      <c r="FZ118" s="127"/>
      <c r="GA118" s="127"/>
      <c r="GB118" s="127"/>
      <c r="GC118" s="127"/>
      <c r="GD118" s="127"/>
      <c r="GE118" s="127"/>
      <c r="GF118" s="127"/>
      <c r="GG118" s="127"/>
      <c r="GH118" s="127"/>
      <c r="GI118" s="127"/>
      <c r="GJ118" s="127"/>
      <c r="GK118" s="127"/>
      <c r="GL118" s="127"/>
      <c r="GM118" s="127"/>
      <c r="GN118" s="127"/>
      <c r="GO118" s="127"/>
      <c r="GP118" s="127"/>
      <c r="GQ118" s="127"/>
      <c r="GR118" s="127"/>
      <c r="GS118" s="127"/>
      <c r="GT118" s="127"/>
      <c r="GU118" s="127"/>
      <c r="GV118" s="127"/>
      <c r="GW118" s="127"/>
      <c r="GX118" s="127"/>
      <c r="GY118" s="127"/>
      <c r="GZ118" s="127"/>
      <c r="HA118" s="127"/>
      <c r="HB118" s="127"/>
      <c r="HC118" s="127"/>
      <c r="HD118" s="127"/>
      <c r="HE118" s="127"/>
      <c r="HF118" s="127"/>
      <c r="HG118" s="127"/>
      <c r="HH118" s="127"/>
      <c r="HI118" s="127"/>
      <c r="HJ118" s="127"/>
      <c r="HK118" s="127"/>
      <c r="HL118" s="127"/>
      <c r="HM118" s="127"/>
      <c r="HN118" s="127"/>
      <c r="HO118" s="127"/>
      <c r="HP118" s="127"/>
      <c r="HQ118" s="127"/>
      <c r="HR118" s="127"/>
      <c r="HS118" s="127"/>
      <c r="HT118" s="127"/>
      <c r="HU118" s="127"/>
      <c r="HV118" s="127"/>
      <c r="HW118" s="127"/>
      <c r="HX118" s="127"/>
      <c r="HY118" s="127"/>
      <c r="HZ118" s="127"/>
      <c r="IA118" s="127"/>
      <c r="IB118" s="127"/>
      <c r="IC118" s="127"/>
      <c r="ID118" s="127"/>
      <c r="IE118" s="127"/>
      <c r="IF118" s="127"/>
      <c r="IG118" s="127"/>
      <c r="IH118" s="127"/>
      <c r="II118" s="127"/>
      <c r="IJ118" s="127"/>
      <c r="IK118" s="127"/>
      <c r="IL118" s="127"/>
      <c r="IM118" s="127"/>
      <c r="IN118" s="127"/>
      <c r="IO118" s="127"/>
      <c r="IP118" s="127"/>
      <c r="IQ118" s="127"/>
      <c r="IR118" s="127"/>
      <c r="IS118" s="127"/>
      <c r="IT118" s="127"/>
      <c r="IU118" s="127"/>
      <c r="IV118" s="127"/>
    </row>
    <row r="119" spans="1:256" x14ac:dyDescent="0.2">
      <c r="A119" s="129"/>
      <c r="B119" s="129"/>
      <c r="C119" s="406" t="s">
        <v>518</v>
      </c>
      <c r="D119" s="421">
        <v>181903</v>
      </c>
      <c r="E119" s="418">
        <f>0+[1]táj.1!E119</f>
        <v>0</v>
      </c>
      <c r="F119" s="418">
        <f>0+[1]táj.1!F119</f>
        <v>0</v>
      </c>
      <c r="G119" s="418">
        <f>3000+[1]táj.1!G119</f>
        <v>3000</v>
      </c>
      <c r="H119" s="418">
        <f>0+[1]táj.1!H119</f>
        <v>0</v>
      </c>
      <c r="I119" s="418">
        <f>0+[1]táj.1!I119</f>
        <v>0</v>
      </c>
      <c r="J119" s="418">
        <f>0+[1]táj.1!J119</f>
        <v>0</v>
      </c>
      <c r="K119" s="418">
        <f>0+[1]táj.1!K119</f>
        <v>0</v>
      </c>
      <c r="L119" s="418">
        <f>0+[1]táj.1!L119</f>
        <v>0</v>
      </c>
      <c r="M119" s="418">
        <f>0+[1]táj.1!M119</f>
        <v>0</v>
      </c>
      <c r="N119" s="418">
        <f>0+[1]táj.1!N119</f>
        <v>0</v>
      </c>
      <c r="O119" s="390">
        <f t="shared" si="7"/>
        <v>3000</v>
      </c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  <c r="DO119" s="127"/>
      <c r="DP119" s="127"/>
      <c r="DQ119" s="127"/>
      <c r="DR119" s="127"/>
      <c r="DS119" s="127"/>
      <c r="DT119" s="127"/>
      <c r="DU119" s="127"/>
      <c r="DV119" s="127"/>
      <c r="DW119" s="127"/>
      <c r="DX119" s="127"/>
      <c r="DY119" s="127"/>
      <c r="DZ119" s="127"/>
      <c r="EA119" s="127"/>
      <c r="EB119" s="127"/>
      <c r="EC119" s="127"/>
      <c r="ED119" s="127"/>
      <c r="EE119" s="127"/>
      <c r="EF119" s="127"/>
      <c r="EG119" s="127"/>
      <c r="EH119" s="127"/>
      <c r="EI119" s="127"/>
      <c r="EJ119" s="127"/>
      <c r="EK119" s="127"/>
      <c r="EL119" s="127"/>
      <c r="EM119" s="127"/>
      <c r="EN119" s="127"/>
      <c r="EO119" s="127"/>
      <c r="EP119" s="127"/>
      <c r="EQ119" s="127"/>
      <c r="ER119" s="127"/>
      <c r="ES119" s="127"/>
      <c r="ET119" s="127"/>
      <c r="EU119" s="127"/>
      <c r="EV119" s="127"/>
      <c r="EW119" s="127"/>
      <c r="EX119" s="127"/>
      <c r="EY119" s="127"/>
      <c r="EZ119" s="127"/>
      <c r="FA119" s="127"/>
      <c r="FB119" s="127"/>
      <c r="FC119" s="127"/>
      <c r="FD119" s="127"/>
      <c r="FE119" s="127"/>
      <c r="FF119" s="127"/>
      <c r="FG119" s="127"/>
      <c r="FH119" s="127"/>
      <c r="FI119" s="127"/>
      <c r="FJ119" s="127"/>
      <c r="FK119" s="127"/>
      <c r="FL119" s="127"/>
      <c r="FM119" s="127"/>
      <c r="FN119" s="127"/>
      <c r="FO119" s="127"/>
      <c r="FP119" s="127"/>
      <c r="FQ119" s="127"/>
      <c r="FR119" s="127"/>
      <c r="FS119" s="127"/>
      <c r="FT119" s="127"/>
      <c r="FU119" s="127"/>
      <c r="FV119" s="127"/>
      <c r="FW119" s="127"/>
      <c r="FX119" s="127"/>
      <c r="FY119" s="127"/>
      <c r="FZ119" s="127"/>
      <c r="GA119" s="127"/>
      <c r="GB119" s="127"/>
      <c r="GC119" s="127"/>
      <c r="GD119" s="127"/>
      <c r="GE119" s="127"/>
      <c r="GF119" s="127"/>
      <c r="GG119" s="127"/>
      <c r="GH119" s="127"/>
      <c r="GI119" s="127"/>
      <c r="GJ119" s="127"/>
      <c r="GK119" s="127"/>
      <c r="GL119" s="127"/>
      <c r="GM119" s="127"/>
      <c r="GN119" s="127"/>
      <c r="GO119" s="127"/>
      <c r="GP119" s="127"/>
      <c r="GQ119" s="127"/>
      <c r="GR119" s="127"/>
      <c r="GS119" s="127"/>
      <c r="GT119" s="127"/>
      <c r="GU119" s="127"/>
      <c r="GV119" s="127"/>
      <c r="GW119" s="127"/>
      <c r="GX119" s="127"/>
      <c r="GY119" s="127"/>
      <c r="GZ119" s="127"/>
      <c r="HA119" s="127"/>
      <c r="HB119" s="127"/>
      <c r="HC119" s="127"/>
      <c r="HD119" s="127"/>
      <c r="HE119" s="127"/>
      <c r="HF119" s="127"/>
      <c r="HG119" s="127"/>
      <c r="HH119" s="127"/>
      <c r="HI119" s="127"/>
      <c r="HJ119" s="127"/>
      <c r="HK119" s="127"/>
      <c r="HL119" s="127"/>
      <c r="HM119" s="127"/>
      <c r="HN119" s="127"/>
      <c r="HO119" s="127"/>
      <c r="HP119" s="127"/>
      <c r="HQ119" s="127"/>
      <c r="HR119" s="127"/>
      <c r="HS119" s="127"/>
      <c r="HT119" s="127"/>
      <c r="HU119" s="127"/>
      <c r="HV119" s="127"/>
      <c r="HW119" s="127"/>
      <c r="HX119" s="127"/>
      <c r="HY119" s="127"/>
      <c r="HZ119" s="127"/>
      <c r="IA119" s="127"/>
      <c r="IB119" s="127"/>
      <c r="IC119" s="127"/>
      <c r="ID119" s="127"/>
      <c r="IE119" s="127"/>
      <c r="IF119" s="127"/>
      <c r="IG119" s="127"/>
      <c r="IH119" s="127"/>
      <c r="II119" s="127"/>
      <c r="IJ119" s="127"/>
      <c r="IK119" s="127"/>
      <c r="IL119" s="127"/>
      <c r="IM119" s="127"/>
      <c r="IN119" s="127"/>
      <c r="IO119" s="127"/>
      <c r="IP119" s="127"/>
      <c r="IQ119" s="127"/>
      <c r="IR119" s="127"/>
      <c r="IS119" s="127"/>
      <c r="IT119" s="127"/>
      <c r="IU119" s="127"/>
      <c r="IV119" s="127"/>
    </row>
    <row r="120" spans="1:256" ht="25.5" x14ac:dyDescent="0.2">
      <c r="A120" s="129"/>
      <c r="B120" s="129"/>
      <c r="C120" s="406" t="s">
        <v>519</v>
      </c>
      <c r="D120" s="421">
        <v>181904</v>
      </c>
      <c r="E120" s="418">
        <f>0+[1]táj.1!E120</f>
        <v>0</v>
      </c>
      <c r="F120" s="418">
        <f>0+[1]táj.1!F120</f>
        <v>0</v>
      </c>
      <c r="G120" s="418">
        <f>0+[1]táj.1!G120</f>
        <v>0</v>
      </c>
      <c r="H120" s="418">
        <f>200+[1]táj.1!H120</f>
        <v>200</v>
      </c>
      <c r="I120" s="418">
        <f>0+[1]táj.1!I120</f>
        <v>0</v>
      </c>
      <c r="J120" s="418">
        <f>0+[1]táj.1!J120</f>
        <v>0</v>
      </c>
      <c r="K120" s="418">
        <f>0+[1]táj.1!K120</f>
        <v>0</v>
      </c>
      <c r="L120" s="418">
        <f>0+[1]táj.1!L120</f>
        <v>0</v>
      </c>
      <c r="M120" s="418">
        <f>0+[1]táj.1!M120</f>
        <v>0</v>
      </c>
      <c r="N120" s="418">
        <f>0+[1]táj.1!N120</f>
        <v>0</v>
      </c>
      <c r="O120" s="390">
        <f t="shared" si="7"/>
        <v>200</v>
      </c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27"/>
      <c r="DB120" s="127"/>
      <c r="DC120" s="127"/>
      <c r="DD120" s="127"/>
      <c r="DE120" s="127"/>
      <c r="DF120" s="127"/>
      <c r="DG120" s="127"/>
      <c r="DH120" s="127"/>
      <c r="DI120" s="127"/>
      <c r="DJ120" s="127"/>
      <c r="DK120" s="127"/>
      <c r="DL120" s="127"/>
      <c r="DM120" s="127"/>
      <c r="DN120" s="127"/>
      <c r="DO120" s="127"/>
      <c r="DP120" s="127"/>
      <c r="DQ120" s="127"/>
      <c r="DR120" s="127"/>
      <c r="DS120" s="127"/>
      <c r="DT120" s="127"/>
      <c r="DU120" s="127"/>
      <c r="DV120" s="127"/>
      <c r="DW120" s="127"/>
      <c r="DX120" s="127"/>
      <c r="DY120" s="127"/>
      <c r="DZ120" s="127"/>
      <c r="EA120" s="127"/>
      <c r="EB120" s="127"/>
      <c r="EC120" s="127"/>
      <c r="ED120" s="127"/>
      <c r="EE120" s="127"/>
      <c r="EF120" s="127"/>
      <c r="EG120" s="127"/>
      <c r="EH120" s="127"/>
      <c r="EI120" s="127"/>
      <c r="EJ120" s="127"/>
      <c r="EK120" s="127"/>
      <c r="EL120" s="127"/>
      <c r="EM120" s="127"/>
      <c r="EN120" s="127"/>
      <c r="EO120" s="127"/>
      <c r="EP120" s="127"/>
      <c r="EQ120" s="127"/>
      <c r="ER120" s="127"/>
      <c r="ES120" s="127"/>
      <c r="ET120" s="127"/>
      <c r="EU120" s="127"/>
      <c r="EV120" s="127"/>
      <c r="EW120" s="127"/>
      <c r="EX120" s="127"/>
      <c r="EY120" s="127"/>
      <c r="EZ120" s="127"/>
      <c r="FA120" s="127"/>
      <c r="FB120" s="127"/>
      <c r="FC120" s="127"/>
      <c r="FD120" s="127"/>
      <c r="FE120" s="127"/>
      <c r="FF120" s="127"/>
      <c r="FG120" s="127"/>
      <c r="FH120" s="127"/>
      <c r="FI120" s="127"/>
      <c r="FJ120" s="127"/>
      <c r="FK120" s="127"/>
      <c r="FL120" s="127"/>
      <c r="FM120" s="127"/>
      <c r="FN120" s="127"/>
      <c r="FO120" s="127"/>
      <c r="FP120" s="127"/>
      <c r="FQ120" s="127"/>
      <c r="FR120" s="127"/>
      <c r="FS120" s="127"/>
      <c r="FT120" s="127"/>
      <c r="FU120" s="127"/>
      <c r="FV120" s="127"/>
      <c r="FW120" s="127"/>
      <c r="FX120" s="127"/>
      <c r="FY120" s="127"/>
      <c r="FZ120" s="127"/>
      <c r="GA120" s="127"/>
      <c r="GB120" s="127"/>
      <c r="GC120" s="127"/>
      <c r="GD120" s="127"/>
      <c r="GE120" s="127"/>
      <c r="GF120" s="127"/>
      <c r="GG120" s="127"/>
      <c r="GH120" s="127"/>
      <c r="GI120" s="127"/>
      <c r="GJ120" s="127"/>
      <c r="GK120" s="127"/>
      <c r="GL120" s="127"/>
      <c r="GM120" s="127"/>
      <c r="GN120" s="127"/>
      <c r="GO120" s="127"/>
      <c r="GP120" s="127"/>
      <c r="GQ120" s="127"/>
      <c r="GR120" s="127"/>
      <c r="GS120" s="127"/>
      <c r="GT120" s="127"/>
      <c r="GU120" s="127"/>
      <c r="GV120" s="127"/>
      <c r="GW120" s="127"/>
      <c r="GX120" s="127"/>
      <c r="GY120" s="127"/>
      <c r="GZ120" s="127"/>
      <c r="HA120" s="127"/>
      <c r="HB120" s="127"/>
      <c r="HC120" s="127"/>
      <c r="HD120" s="127"/>
      <c r="HE120" s="127"/>
      <c r="HF120" s="127"/>
      <c r="HG120" s="127"/>
      <c r="HH120" s="127"/>
      <c r="HI120" s="127"/>
      <c r="HJ120" s="127"/>
      <c r="HK120" s="127"/>
      <c r="HL120" s="127"/>
      <c r="HM120" s="127"/>
      <c r="HN120" s="127"/>
      <c r="HO120" s="127"/>
      <c r="HP120" s="127"/>
      <c r="HQ120" s="127"/>
      <c r="HR120" s="127"/>
      <c r="HS120" s="127"/>
      <c r="HT120" s="127"/>
      <c r="HU120" s="127"/>
      <c r="HV120" s="127"/>
      <c r="HW120" s="127"/>
      <c r="HX120" s="127"/>
      <c r="HY120" s="127"/>
      <c r="HZ120" s="127"/>
      <c r="IA120" s="127"/>
      <c r="IB120" s="127"/>
      <c r="IC120" s="127"/>
      <c r="ID120" s="127"/>
      <c r="IE120" s="127"/>
      <c r="IF120" s="127"/>
      <c r="IG120" s="127"/>
      <c r="IH120" s="127"/>
      <c r="II120" s="127"/>
      <c r="IJ120" s="127"/>
      <c r="IK120" s="127"/>
      <c r="IL120" s="127"/>
      <c r="IM120" s="127"/>
      <c r="IN120" s="127"/>
      <c r="IO120" s="127"/>
      <c r="IP120" s="127"/>
      <c r="IQ120" s="127"/>
      <c r="IR120" s="127"/>
      <c r="IS120" s="127"/>
      <c r="IT120" s="127"/>
      <c r="IU120" s="127"/>
      <c r="IV120" s="127"/>
    </row>
    <row r="121" spans="1:256" x14ac:dyDescent="0.2">
      <c r="A121" s="129" t="s">
        <v>207</v>
      </c>
      <c r="B121" s="129"/>
      <c r="C121" s="391" t="s">
        <v>520</v>
      </c>
      <c r="D121" s="423">
        <v>181902</v>
      </c>
      <c r="E121" s="418">
        <f>0+[1]táj.1!E121</f>
        <v>0</v>
      </c>
      <c r="F121" s="418">
        <f>0+[1]táj.1!F121</f>
        <v>0</v>
      </c>
      <c r="G121" s="418">
        <f>0+[1]táj.1!G121</f>
        <v>0</v>
      </c>
      <c r="H121" s="418">
        <f>33020+[1]táj.1!H121</f>
        <v>33020</v>
      </c>
      <c r="I121" s="418">
        <f>0+[1]táj.1!I121</f>
        <v>0</v>
      </c>
      <c r="J121" s="418">
        <f>0+[1]táj.1!J121</f>
        <v>0</v>
      </c>
      <c r="K121" s="418">
        <f>0+[1]táj.1!K121</f>
        <v>0</v>
      </c>
      <c r="L121" s="418">
        <f>0+[1]táj.1!L121</f>
        <v>0</v>
      </c>
      <c r="M121" s="418">
        <f>0+[1]táj.1!M121</f>
        <v>0</v>
      </c>
      <c r="N121" s="418">
        <f>0+[1]táj.1!N121</f>
        <v>0</v>
      </c>
      <c r="O121" s="390">
        <f t="shared" si="7"/>
        <v>33020</v>
      </c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  <c r="CU121" s="127"/>
      <c r="CV121" s="127"/>
      <c r="CW121" s="127"/>
      <c r="CX121" s="127"/>
      <c r="CY121" s="127"/>
      <c r="CZ121" s="127"/>
      <c r="DA121" s="127"/>
      <c r="DB121" s="127"/>
      <c r="DC121" s="127"/>
      <c r="DD121" s="127"/>
      <c r="DE121" s="127"/>
      <c r="DF121" s="127"/>
      <c r="DG121" s="127"/>
      <c r="DH121" s="127"/>
      <c r="DI121" s="127"/>
      <c r="DJ121" s="127"/>
      <c r="DK121" s="127"/>
      <c r="DL121" s="127"/>
      <c r="DM121" s="127"/>
      <c r="DN121" s="127"/>
      <c r="DO121" s="127"/>
      <c r="DP121" s="127"/>
      <c r="DQ121" s="127"/>
      <c r="DR121" s="127"/>
      <c r="DS121" s="127"/>
      <c r="DT121" s="127"/>
      <c r="DU121" s="127"/>
      <c r="DV121" s="127"/>
      <c r="DW121" s="127"/>
      <c r="DX121" s="127"/>
      <c r="DY121" s="127"/>
      <c r="DZ121" s="127"/>
      <c r="EA121" s="127"/>
      <c r="EB121" s="127"/>
      <c r="EC121" s="127"/>
      <c r="ED121" s="127"/>
      <c r="EE121" s="127"/>
      <c r="EF121" s="127"/>
      <c r="EG121" s="127"/>
      <c r="EH121" s="127"/>
      <c r="EI121" s="127"/>
      <c r="EJ121" s="127"/>
      <c r="EK121" s="127"/>
      <c r="EL121" s="127"/>
      <c r="EM121" s="127"/>
      <c r="EN121" s="127"/>
      <c r="EO121" s="127"/>
      <c r="EP121" s="127"/>
      <c r="EQ121" s="127"/>
      <c r="ER121" s="127"/>
      <c r="ES121" s="127"/>
      <c r="ET121" s="127"/>
      <c r="EU121" s="127"/>
      <c r="EV121" s="127"/>
      <c r="EW121" s="127"/>
      <c r="EX121" s="127"/>
      <c r="EY121" s="127"/>
      <c r="EZ121" s="127"/>
      <c r="FA121" s="127"/>
      <c r="FB121" s="127"/>
      <c r="FC121" s="127"/>
      <c r="FD121" s="127"/>
      <c r="FE121" s="127"/>
      <c r="FF121" s="127"/>
      <c r="FG121" s="127"/>
      <c r="FH121" s="127"/>
      <c r="FI121" s="127"/>
      <c r="FJ121" s="127"/>
      <c r="FK121" s="127"/>
      <c r="FL121" s="127"/>
      <c r="FM121" s="127"/>
      <c r="FN121" s="127"/>
      <c r="FO121" s="127"/>
      <c r="FP121" s="127"/>
      <c r="FQ121" s="127"/>
      <c r="FR121" s="127"/>
      <c r="FS121" s="127"/>
      <c r="FT121" s="127"/>
      <c r="FU121" s="127"/>
      <c r="FV121" s="127"/>
      <c r="FW121" s="127"/>
      <c r="FX121" s="127"/>
      <c r="FY121" s="127"/>
      <c r="FZ121" s="127"/>
      <c r="GA121" s="127"/>
      <c r="GB121" s="127"/>
      <c r="GC121" s="127"/>
      <c r="GD121" s="127"/>
      <c r="GE121" s="127"/>
      <c r="GF121" s="127"/>
      <c r="GG121" s="127"/>
      <c r="GH121" s="127"/>
      <c r="GI121" s="127"/>
      <c r="GJ121" s="127"/>
      <c r="GK121" s="127"/>
      <c r="GL121" s="127"/>
      <c r="GM121" s="127"/>
      <c r="GN121" s="127"/>
      <c r="GO121" s="127"/>
      <c r="GP121" s="127"/>
      <c r="GQ121" s="127"/>
      <c r="GR121" s="127"/>
      <c r="GS121" s="127"/>
      <c r="GT121" s="127"/>
      <c r="GU121" s="127"/>
      <c r="GV121" s="127"/>
      <c r="GW121" s="127"/>
      <c r="GX121" s="127"/>
      <c r="GY121" s="127"/>
      <c r="GZ121" s="127"/>
      <c r="HA121" s="127"/>
      <c r="HB121" s="127"/>
      <c r="HC121" s="127"/>
      <c r="HD121" s="127"/>
      <c r="HE121" s="127"/>
      <c r="HF121" s="127"/>
      <c r="HG121" s="127"/>
      <c r="HH121" s="127"/>
      <c r="HI121" s="127"/>
      <c r="HJ121" s="127"/>
      <c r="HK121" s="127"/>
      <c r="HL121" s="127"/>
      <c r="HM121" s="127"/>
      <c r="HN121" s="127"/>
      <c r="HO121" s="127"/>
      <c r="HP121" s="127"/>
      <c r="HQ121" s="127"/>
      <c r="HR121" s="127"/>
      <c r="HS121" s="127"/>
      <c r="HT121" s="127"/>
      <c r="HU121" s="127"/>
      <c r="HV121" s="127"/>
      <c r="HW121" s="127"/>
      <c r="HX121" s="127"/>
      <c r="HY121" s="127"/>
      <c r="HZ121" s="127"/>
      <c r="IA121" s="127"/>
      <c r="IB121" s="127"/>
      <c r="IC121" s="127"/>
      <c r="ID121" s="127"/>
      <c r="IE121" s="127"/>
      <c r="IF121" s="127"/>
      <c r="IG121" s="127"/>
      <c r="IH121" s="127"/>
      <c r="II121" s="127"/>
      <c r="IJ121" s="127"/>
      <c r="IK121" s="127"/>
      <c r="IL121" s="127"/>
      <c r="IM121" s="127"/>
      <c r="IN121" s="127"/>
      <c r="IO121" s="127"/>
      <c r="IP121" s="127"/>
      <c r="IQ121" s="127"/>
      <c r="IR121" s="127"/>
      <c r="IS121" s="127"/>
      <c r="IT121" s="127"/>
      <c r="IU121" s="127"/>
      <c r="IV121" s="127"/>
    </row>
    <row r="122" spans="1:256" ht="25.5" x14ac:dyDescent="0.2">
      <c r="A122" s="129"/>
      <c r="B122" s="129"/>
      <c r="C122" s="141" t="s">
        <v>1313</v>
      </c>
      <c r="D122" s="423">
        <v>181907</v>
      </c>
      <c r="E122" s="418">
        <f>0+[1]táj.1!E122</f>
        <v>0</v>
      </c>
      <c r="F122" s="418">
        <f>0+[1]táj.1!F122</f>
        <v>0</v>
      </c>
      <c r="G122" s="418">
        <f>0+[1]táj.1!G122</f>
        <v>0</v>
      </c>
      <c r="H122" s="418">
        <f>0+[1]táj.1!H122</f>
        <v>256</v>
      </c>
      <c r="I122" s="418">
        <f>0+[1]táj.1!I122</f>
        <v>0</v>
      </c>
      <c r="J122" s="418">
        <f>0+[1]táj.1!J122</f>
        <v>0</v>
      </c>
      <c r="K122" s="418">
        <f>0+[1]táj.1!K122</f>
        <v>0</v>
      </c>
      <c r="L122" s="418">
        <f>0+[1]táj.1!L122</f>
        <v>0</v>
      </c>
      <c r="M122" s="418">
        <f>0+[1]táj.1!M122</f>
        <v>0</v>
      </c>
      <c r="N122" s="418">
        <f>0+[1]táj.1!N122</f>
        <v>0</v>
      </c>
      <c r="O122" s="390">
        <f t="shared" si="7"/>
        <v>256</v>
      </c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27"/>
      <c r="EA122" s="127"/>
      <c r="EB122" s="127"/>
      <c r="EC122" s="127"/>
      <c r="ED122" s="127"/>
      <c r="EE122" s="127"/>
      <c r="EF122" s="127"/>
      <c r="EG122" s="127"/>
      <c r="EH122" s="127"/>
      <c r="EI122" s="127"/>
      <c r="EJ122" s="127"/>
      <c r="EK122" s="127"/>
      <c r="EL122" s="127"/>
      <c r="EM122" s="127"/>
      <c r="EN122" s="127"/>
      <c r="EO122" s="127"/>
      <c r="EP122" s="127"/>
      <c r="EQ122" s="127"/>
      <c r="ER122" s="127"/>
      <c r="ES122" s="127"/>
      <c r="ET122" s="127"/>
      <c r="EU122" s="127"/>
      <c r="EV122" s="127"/>
      <c r="EW122" s="127"/>
      <c r="EX122" s="127"/>
      <c r="EY122" s="127"/>
      <c r="EZ122" s="127"/>
      <c r="FA122" s="127"/>
      <c r="FB122" s="127"/>
      <c r="FC122" s="127"/>
      <c r="FD122" s="127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27"/>
      <c r="FX122" s="127"/>
      <c r="FY122" s="127"/>
      <c r="FZ122" s="127"/>
      <c r="GA122" s="127"/>
      <c r="GB122" s="127"/>
      <c r="GC122" s="127"/>
      <c r="GD122" s="127"/>
      <c r="GE122" s="127"/>
      <c r="GF122" s="127"/>
      <c r="GG122" s="127"/>
      <c r="GH122" s="127"/>
      <c r="GI122" s="127"/>
      <c r="GJ122" s="127"/>
      <c r="GK122" s="127"/>
      <c r="GL122" s="127"/>
      <c r="GM122" s="127"/>
      <c r="GN122" s="127"/>
      <c r="GO122" s="127"/>
      <c r="GP122" s="127"/>
      <c r="GQ122" s="127"/>
      <c r="GR122" s="127"/>
      <c r="GS122" s="127"/>
      <c r="GT122" s="127"/>
      <c r="GU122" s="127"/>
      <c r="GV122" s="127"/>
      <c r="GW122" s="127"/>
      <c r="GX122" s="127"/>
      <c r="GY122" s="127"/>
      <c r="GZ122" s="127"/>
      <c r="HA122" s="127"/>
      <c r="HB122" s="127"/>
      <c r="HC122" s="127"/>
      <c r="HD122" s="127"/>
      <c r="HE122" s="127"/>
      <c r="HF122" s="127"/>
      <c r="HG122" s="127"/>
      <c r="HH122" s="127"/>
      <c r="HI122" s="127"/>
      <c r="HJ122" s="127"/>
      <c r="HK122" s="127"/>
      <c r="HL122" s="127"/>
      <c r="HM122" s="127"/>
      <c r="HN122" s="127"/>
      <c r="HO122" s="127"/>
      <c r="HP122" s="127"/>
      <c r="HQ122" s="127"/>
      <c r="HR122" s="127"/>
      <c r="HS122" s="127"/>
      <c r="HT122" s="127"/>
      <c r="HU122" s="127"/>
      <c r="HV122" s="127"/>
      <c r="HW122" s="127"/>
      <c r="HX122" s="127"/>
      <c r="HY122" s="127"/>
      <c r="HZ122" s="127"/>
      <c r="IA122" s="127"/>
      <c r="IB122" s="127"/>
      <c r="IC122" s="127"/>
      <c r="ID122" s="127"/>
      <c r="IE122" s="127"/>
      <c r="IF122" s="127"/>
      <c r="IG122" s="127"/>
      <c r="IH122" s="127"/>
      <c r="II122" s="127"/>
      <c r="IJ122" s="127"/>
      <c r="IK122" s="127"/>
      <c r="IL122" s="127"/>
      <c r="IM122" s="127"/>
      <c r="IN122" s="127"/>
      <c r="IO122" s="127"/>
      <c r="IP122" s="127"/>
      <c r="IQ122" s="127"/>
      <c r="IR122" s="127"/>
      <c r="IS122" s="127"/>
      <c r="IT122" s="127"/>
      <c r="IU122" s="127"/>
      <c r="IV122" s="127"/>
    </row>
    <row r="123" spans="1:256" ht="13.5" x14ac:dyDescent="0.2">
      <c r="A123" s="133"/>
      <c r="B123" s="133"/>
      <c r="C123" s="419" t="s">
        <v>521</v>
      </c>
      <c r="D123" s="431"/>
      <c r="E123" s="442">
        <f t="shared" ref="E123:O123" si="8">SUM(E117:E122)</f>
        <v>0</v>
      </c>
      <c r="F123" s="442">
        <f t="shared" si="8"/>
        <v>0</v>
      </c>
      <c r="G123" s="442">
        <f t="shared" si="8"/>
        <v>3000</v>
      </c>
      <c r="H123" s="442">
        <f t="shared" si="8"/>
        <v>76148</v>
      </c>
      <c r="I123" s="442">
        <f t="shared" si="8"/>
        <v>0</v>
      </c>
      <c r="J123" s="442">
        <f t="shared" si="8"/>
        <v>0</v>
      </c>
      <c r="K123" s="442">
        <f t="shared" si="8"/>
        <v>0</v>
      </c>
      <c r="L123" s="442">
        <f t="shared" si="8"/>
        <v>0</v>
      </c>
      <c r="M123" s="442">
        <f t="shared" si="8"/>
        <v>0</v>
      </c>
      <c r="N123" s="442">
        <f t="shared" si="8"/>
        <v>0</v>
      </c>
      <c r="O123" s="442">
        <f t="shared" si="8"/>
        <v>79148</v>
      </c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  <c r="EJ123" s="127"/>
      <c r="EK123" s="127"/>
      <c r="EL123" s="127"/>
      <c r="EM123" s="127"/>
      <c r="EN123" s="127"/>
      <c r="EO123" s="127"/>
      <c r="EP123" s="127"/>
      <c r="EQ123" s="127"/>
      <c r="ER123" s="127"/>
      <c r="ES123" s="127"/>
      <c r="ET123" s="127"/>
      <c r="EU123" s="127"/>
      <c r="EV123" s="127"/>
      <c r="EW123" s="127"/>
      <c r="EX123" s="127"/>
      <c r="EY123" s="127"/>
      <c r="EZ123" s="127"/>
      <c r="FA123" s="127"/>
      <c r="FB123" s="127"/>
      <c r="FC123" s="127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127"/>
      <c r="FY123" s="127"/>
      <c r="FZ123" s="127"/>
      <c r="GA123" s="127"/>
      <c r="GB123" s="127"/>
      <c r="GC123" s="127"/>
      <c r="GD123" s="127"/>
      <c r="GE123" s="127"/>
      <c r="GF123" s="127"/>
      <c r="GG123" s="127"/>
      <c r="GH123" s="127"/>
      <c r="GI123" s="127"/>
      <c r="GJ123" s="127"/>
      <c r="GK123" s="127"/>
      <c r="GL123" s="127"/>
      <c r="GM123" s="127"/>
      <c r="GN123" s="127"/>
      <c r="GO123" s="127"/>
      <c r="GP123" s="127"/>
      <c r="GQ123" s="127"/>
      <c r="GR123" s="127"/>
      <c r="GS123" s="127"/>
      <c r="GT123" s="127"/>
      <c r="GU123" s="127"/>
      <c r="GV123" s="127"/>
      <c r="GW123" s="127"/>
      <c r="GX123" s="127"/>
      <c r="GY123" s="127"/>
      <c r="GZ123" s="127"/>
      <c r="HA123" s="127"/>
      <c r="HB123" s="127"/>
      <c r="HC123" s="127"/>
      <c r="HD123" s="127"/>
      <c r="HE123" s="127"/>
      <c r="HF123" s="127"/>
      <c r="HG123" s="127"/>
      <c r="HH123" s="127"/>
      <c r="HI123" s="127"/>
      <c r="HJ123" s="127"/>
      <c r="HK123" s="127"/>
      <c r="HL123" s="127"/>
      <c r="HM123" s="127"/>
      <c r="HN123" s="127"/>
      <c r="HO123" s="127"/>
      <c r="HP123" s="127"/>
      <c r="HQ123" s="127"/>
      <c r="HR123" s="127"/>
      <c r="HS123" s="127"/>
      <c r="HT123" s="127"/>
      <c r="HU123" s="127"/>
      <c r="HV123" s="127"/>
      <c r="HW123" s="127"/>
      <c r="HX123" s="127"/>
      <c r="HY123" s="127"/>
      <c r="HZ123" s="127"/>
      <c r="IA123" s="127"/>
      <c r="IB123" s="127"/>
      <c r="IC123" s="127"/>
      <c r="ID123" s="127"/>
      <c r="IE123" s="127"/>
      <c r="IF123" s="127"/>
      <c r="IG123" s="127"/>
      <c r="IH123" s="127"/>
      <c r="II123" s="127"/>
      <c r="IJ123" s="127"/>
      <c r="IK123" s="127"/>
      <c r="IL123" s="127"/>
      <c r="IM123" s="127"/>
      <c r="IN123" s="127"/>
      <c r="IO123" s="127"/>
      <c r="IP123" s="127"/>
      <c r="IQ123" s="127"/>
      <c r="IR123" s="127"/>
      <c r="IS123" s="127"/>
      <c r="IT123" s="127"/>
      <c r="IU123" s="127"/>
      <c r="IV123" s="127"/>
    </row>
    <row r="124" spans="1:256" ht="13.5" x14ac:dyDescent="0.2">
      <c r="A124" s="129">
        <v>1</v>
      </c>
      <c r="B124" s="129">
        <v>19</v>
      </c>
      <c r="C124" s="384" t="s">
        <v>206</v>
      </c>
      <c r="D124" s="385"/>
      <c r="E124" s="390"/>
      <c r="F124" s="390"/>
      <c r="G124" s="390"/>
      <c r="H124" s="390"/>
      <c r="I124" s="390"/>
      <c r="J124" s="390"/>
      <c r="K124" s="390"/>
      <c r="L124" s="390"/>
      <c r="M124" s="390"/>
      <c r="N124" s="390"/>
      <c r="O124" s="390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  <c r="EJ124" s="127"/>
      <c r="EK124" s="127"/>
      <c r="EL124" s="127"/>
      <c r="EM124" s="127"/>
      <c r="EN124" s="127"/>
      <c r="EO124" s="127"/>
      <c r="EP124" s="127"/>
      <c r="EQ124" s="127"/>
      <c r="ER124" s="127"/>
      <c r="ES124" s="127"/>
      <c r="ET124" s="127"/>
      <c r="EU124" s="127"/>
      <c r="EV124" s="127"/>
      <c r="EW124" s="127"/>
      <c r="EX124" s="127"/>
      <c r="EY124" s="127"/>
      <c r="EZ124" s="127"/>
      <c r="FA124" s="127"/>
      <c r="FB124" s="127"/>
      <c r="FC124" s="127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127"/>
      <c r="FY124" s="127"/>
      <c r="FZ124" s="127"/>
      <c r="GA124" s="127"/>
      <c r="GB124" s="127"/>
      <c r="GC124" s="127"/>
      <c r="GD124" s="127"/>
      <c r="GE124" s="127"/>
      <c r="GF124" s="127"/>
      <c r="GG124" s="127"/>
      <c r="GH124" s="127"/>
      <c r="GI124" s="127"/>
      <c r="GJ124" s="127"/>
      <c r="GK124" s="127"/>
      <c r="GL124" s="127"/>
      <c r="GM124" s="127"/>
      <c r="GN124" s="127"/>
      <c r="GO124" s="127"/>
      <c r="GP124" s="127"/>
      <c r="GQ124" s="127"/>
      <c r="GR124" s="127"/>
      <c r="GS124" s="127"/>
      <c r="GT124" s="127"/>
      <c r="GU124" s="127"/>
      <c r="GV124" s="127"/>
      <c r="GW124" s="127"/>
      <c r="GX124" s="127"/>
      <c r="GY124" s="127"/>
      <c r="GZ124" s="127"/>
      <c r="HA124" s="127"/>
      <c r="HB124" s="127"/>
      <c r="HC124" s="127"/>
      <c r="HD124" s="127"/>
      <c r="HE124" s="127"/>
      <c r="HF124" s="127"/>
      <c r="HG124" s="127"/>
      <c r="HH124" s="127"/>
      <c r="HI124" s="127"/>
      <c r="HJ124" s="127"/>
      <c r="HK124" s="127"/>
      <c r="HL124" s="127"/>
      <c r="HM124" s="127"/>
      <c r="HN124" s="127"/>
      <c r="HO124" s="127"/>
      <c r="HP124" s="127"/>
      <c r="HQ124" s="127"/>
      <c r="HR124" s="127"/>
      <c r="HS124" s="127"/>
      <c r="HT124" s="127"/>
      <c r="HU124" s="127"/>
      <c r="HV124" s="127"/>
      <c r="HW124" s="127"/>
      <c r="HX124" s="127"/>
      <c r="HY124" s="127"/>
      <c r="HZ124" s="127"/>
      <c r="IA124" s="127"/>
      <c r="IB124" s="127"/>
      <c r="IC124" s="127"/>
      <c r="ID124" s="127"/>
      <c r="IE124" s="127"/>
      <c r="IF124" s="127"/>
      <c r="IG124" s="127"/>
      <c r="IH124" s="127"/>
      <c r="II124" s="127"/>
      <c r="IJ124" s="127"/>
      <c r="IK124" s="127"/>
      <c r="IL124" s="127"/>
      <c r="IM124" s="127"/>
      <c r="IN124" s="127"/>
      <c r="IO124" s="127"/>
      <c r="IP124" s="127"/>
      <c r="IQ124" s="127"/>
      <c r="IR124" s="127"/>
      <c r="IS124" s="127"/>
      <c r="IT124" s="127"/>
      <c r="IU124" s="127"/>
      <c r="IV124" s="127"/>
    </row>
    <row r="125" spans="1:256" ht="25.5" x14ac:dyDescent="0.2">
      <c r="A125" s="129"/>
      <c r="B125" s="129"/>
      <c r="C125" s="723" t="s">
        <v>522</v>
      </c>
      <c r="D125" s="440"/>
      <c r="E125" s="390"/>
      <c r="F125" s="390"/>
      <c r="G125" s="390"/>
      <c r="H125" s="390"/>
      <c r="I125" s="390"/>
      <c r="J125" s="390"/>
      <c r="K125" s="390"/>
      <c r="L125" s="390"/>
      <c r="M125" s="390"/>
      <c r="N125" s="390"/>
      <c r="O125" s="390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27"/>
      <c r="DY125" s="127"/>
      <c r="DZ125" s="127"/>
      <c r="EA125" s="127"/>
      <c r="EB125" s="127"/>
      <c r="EC125" s="127"/>
      <c r="ED125" s="127"/>
      <c r="EE125" s="127"/>
      <c r="EF125" s="127"/>
      <c r="EG125" s="127"/>
      <c r="EH125" s="127"/>
      <c r="EI125" s="127"/>
      <c r="EJ125" s="127"/>
      <c r="EK125" s="127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127"/>
      <c r="FF125" s="127"/>
      <c r="FG125" s="127"/>
      <c r="FH125" s="127"/>
      <c r="FI125" s="127"/>
      <c r="FJ125" s="127"/>
      <c r="FK125" s="127"/>
      <c r="FL125" s="127"/>
      <c r="FM125" s="127"/>
      <c r="FN125" s="127"/>
      <c r="FO125" s="127"/>
      <c r="FP125" s="127"/>
      <c r="FQ125" s="127"/>
      <c r="FR125" s="127"/>
      <c r="FS125" s="127"/>
      <c r="FT125" s="127"/>
      <c r="FU125" s="127"/>
      <c r="FV125" s="127"/>
      <c r="FW125" s="127"/>
      <c r="FX125" s="127"/>
      <c r="FY125" s="127"/>
      <c r="FZ125" s="127"/>
      <c r="GA125" s="127"/>
      <c r="GB125" s="127"/>
      <c r="GC125" s="127"/>
      <c r="GD125" s="127"/>
      <c r="GE125" s="127"/>
      <c r="GF125" s="127"/>
      <c r="GG125" s="127"/>
      <c r="GH125" s="127"/>
      <c r="GI125" s="127"/>
      <c r="GJ125" s="127"/>
      <c r="GK125" s="127"/>
      <c r="GL125" s="127"/>
      <c r="GM125" s="127"/>
      <c r="GN125" s="127"/>
      <c r="GO125" s="127"/>
      <c r="GP125" s="127"/>
      <c r="GQ125" s="127"/>
      <c r="GR125" s="127"/>
      <c r="GS125" s="127"/>
      <c r="GT125" s="127"/>
      <c r="GU125" s="127"/>
      <c r="GV125" s="127"/>
      <c r="GW125" s="127"/>
      <c r="GX125" s="127"/>
      <c r="GY125" s="127"/>
      <c r="GZ125" s="127"/>
      <c r="HA125" s="127"/>
      <c r="HB125" s="127"/>
      <c r="HC125" s="127"/>
      <c r="HD125" s="127"/>
      <c r="HE125" s="127"/>
      <c r="HF125" s="127"/>
      <c r="HG125" s="127"/>
      <c r="HH125" s="127"/>
      <c r="HI125" s="127"/>
      <c r="HJ125" s="127"/>
      <c r="HK125" s="127"/>
      <c r="HL125" s="127"/>
      <c r="HM125" s="127"/>
      <c r="HN125" s="127"/>
      <c r="HO125" s="127"/>
      <c r="HP125" s="127"/>
      <c r="HQ125" s="127"/>
      <c r="HR125" s="127"/>
      <c r="HS125" s="127"/>
      <c r="HT125" s="127"/>
      <c r="HU125" s="127"/>
      <c r="HV125" s="127"/>
      <c r="HW125" s="127"/>
      <c r="HX125" s="127"/>
      <c r="HY125" s="127"/>
      <c r="HZ125" s="127"/>
      <c r="IA125" s="127"/>
      <c r="IB125" s="127"/>
      <c r="IC125" s="127"/>
      <c r="ID125" s="127"/>
      <c r="IE125" s="127"/>
      <c r="IF125" s="127"/>
      <c r="IG125" s="127"/>
      <c r="IH125" s="127"/>
      <c r="II125" s="127"/>
      <c r="IJ125" s="127"/>
      <c r="IK125" s="127"/>
      <c r="IL125" s="127"/>
      <c r="IM125" s="127"/>
      <c r="IN125" s="127"/>
      <c r="IO125" s="127"/>
      <c r="IP125" s="127"/>
      <c r="IQ125" s="127"/>
      <c r="IR125" s="127"/>
      <c r="IS125" s="127"/>
      <c r="IT125" s="127"/>
      <c r="IU125" s="127"/>
      <c r="IV125" s="127"/>
    </row>
    <row r="126" spans="1:256" ht="25.5" x14ac:dyDescent="0.2">
      <c r="A126" s="129"/>
      <c r="B126" s="129"/>
      <c r="C126" s="391" t="s">
        <v>523</v>
      </c>
      <c r="D126" s="423">
        <v>196911</v>
      </c>
      <c r="E126" s="418">
        <f>0+[1]táj.1!E126</f>
        <v>0</v>
      </c>
      <c r="F126" s="418">
        <f>0+[1]táj.1!F126</f>
        <v>0</v>
      </c>
      <c r="G126" s="418">
        <f>0+[1]táj.1!G126</f>
        <v>0</v>
      </c>
      <c r="H126" s="418">
        <f>0+[1]táj.1!H126</f>
        <v>0</v>
      </c>
      <c r="I126" s="418">
        <f>0+[1]táj.1!I126</f>
        <v>0</v>
      </c>
      <c r="J126" s="418">
        <f>0+[1]táj.1!J126</f>
        <v>0</v>
      </c>
      <c r="K126" s="418">
        <f>0+[1]táj.1!K126</f>
        <v>0</v>
      </c>
      <c r="L126" s="418">
        <f>17924+[1]táj.1!L126</f>
        <v>17924</v>
      </c>
      <c r="M126" s="418">
        <f>0+[1]táj.1!M126</f>
        <v>0</v>
      </c>
      <c r="N126" s="418">
        <f>0+[1]táj.1!N126</f>
        <v>0</v>
      </c>
      <c r="O126" s="390">
        <f>SUM(E126:N126)</f>
        <v>17924</v>
      </c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127"/>
      <c r="EZ126" s="127"/>
      <c r="FA126" s="127"/>
      <c r="FB126" s="127"/>
      <c r="FC126" s="127"/>
      <c r="FD126" s="127"/>
      <c r="FE126" s="127"/>
      <c r="FF126" s="127"/>
      <c r="FG126" s="127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7"/>
      <c r="FY126" s="127"/>
      <c r="FZ126" s="127"/>
      <c r="GA126" s="127"/>
      <c r="GB126" s="127"/>
      <c r="GC126" s="127"/>
      <c r="GD126" s="127"/>
      <c r="GE126" s="127"/>
      <c r="GF126" s="127"/>
      <c r="GG126" s="127"/>
      <c r="GH126" s="127"/>
      <c r="GI126" s="127"/>
      <c r="GJ126" s="127"/>
      <c r="GK126" s="127"/>
      <c r="GL126" s="127"/>
      <c r="GM126" s="127"/>
      <c r="GN126" s="127"/>
      <c r="GO126" s="127"/>
      <c r="GP126" s="127"/>
      <c r="GQ126" s="127"/>
      <c r="GR126" s="127"/>
      <c r="GS126" s="127"/>
      <c r="GT126" s="127"/>
      <c r="GU126" s="127"/>
      <c r="GV126" s="127"/>
      <c r="GW126" s="127"/>
      <c r="GX126" s="127"/>
      <c r="GY126" s="127"/>
      <c r="GZ126" s="127"/>
      <c r="HA126" s="127"/>
      <c r="HB126" s="127"/>
      <c r="HC126" s="127"/>
      <c r="HD126" s="127"/>
      <c r="HE126" s="127"/>
      <c r="HF126" s="127"/>
      <c r="HG126" s="127"/>
      <c r="HH126" s="127"/>
      <c r="HI126" s="127"/>
      <c r="HJ126" s="127"/>
      <c r="HK126" s="127"/>
      <c r="HL126" s="127"/>
      <c r="HM126" s="127"/>
      <c r="HN126" s="127"/>
      <c r="HO126" s="127"/>
      <c r="HP126" s="127"/>
      <c r="HQ126" s="127"/>
      <c r="HR126" s="127"/>
      <c r="HS126" s="127"/>
      <c r="HT126" s="127"/>
      <c r="HU126" s="127"/>
      <c r="HV126" s="127"/>
      <c r="HW126" s="127"/>
      <c r="HX126" s="127"/>
      <c r="HY126" s="127"/>
      <c r="HZ126" s="127"/>
      <c r="IA126" s="127"/>
      <c r="IB126" s="127"/>
      <c r="IC126" s="127"/>
      <c r="ID126" s="127"/>
      <c r="IE126" s="127"/>
      <c r="IF126" s="127"/>
      <c r="IG126" s="127"/>
      <c r="IH126" s="127"/>
      <c r="II126" s="127"/>
      <c r="IJ126" s="127"/>
      <c r="IK126" s="127"/>
      <c r="IL126" s="127"/>
      <c r="IM126" s="127"/>
      <c r="IN126" s="127"/>
      <c r="IO126" s="127"/>
      <c r="IP126" s="127"/>
      <c r="IQ126" s="127"/>
      <c r="IR126" s="127"/>
      <c r="IS126" s="127"/>
      <c r="IT126" s="127"/>
      <c r="IU126" s="127"/>
      <c r="IV126" s="127"/>
    </row>
    <row r="127" spans="1:256" ht="25.5" x14ac:dyDescent="0.2">
      <c r="A127" s="129"/>
      <c r="B127" s="129"/>
      <c r="C127" s="391" t="s">
        <v>416</v>
      </c>
      <c r="D127" s="392"/>
      <c r="E127" s="418"/>
      <c r="F127" s="418"/>
      <c r="G127" s="418"/>
      <c r="H127" s="418"/>
      <c r="I127" s="418"/>
      <c r="J127" s="418"/>
      <c r="K127" s="418"/>
      <c r="L127" s="418"/>
      <c r="M127" s="418"/>
      <c r="N127" s="418"/>
      <c r="O127" s="390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  <c r="GG127" s="127"/>
      <c r="GH127" s="127"/>
      <c r="GI127" s="127"/>
      <c r="GJ127" s="127"/>
      <c r="GK127" s="127"/>
      <c r="GL127" s="127"/>
      <c r="GM127" s="127"/>
      <c r="GN127" s="127"/>
      <c r="GO127" s="127"/>
      <c r="GP127" s="127"/>
      <c r="GQ127" s="127"/>
      <c r="GR127" s="127"/>
      <c r="GS127" s="127"/>
      <c r="GT127" s="127"/>
      <c r="GU127" s="127"/>
      <c r="GV127" s="127"/>
      <c r="GW127" s="127"/>
      <c r="GX127" s="127"/>
      <c r="GY127" s="127"/>
      <c r="GZ127" s="127"/>
      <c r="HA127" s="127"/>
      <c r="HB127" s="127"/>
      <c r="HC127" s="127"/>
      <c r="HD127" s="127"/>
      <c r="HE127" s="127"/>
      <c r="HF127" s="127"/>
      <c r="HG127" s="127"/>
      <c r="HH127" s="127"/>
      <c r="HI127" s="127"/>
      <c r="HJ127" s="127"/>
      <c r="HK127" s="127"/>
      <c r="HL127" s="127"/>
      <c r="HM127" s="127"/>
      <c r="HN127" s="127"/>
      <c r="HO127" s="127"/>
      <c r="HP127" s="127"/>
      <c r="HQ127" s="127"/>
      <c r="HR127" s="127"/>
      <c r="HS127" s="127"/>
      <c r="HT127" s="127"/>
      <c r="HU127" s="127"/>
      <c r="HV127" s="127"/>
      <c r="HW127" s="127"/>
      <c r="HX127" s="127"/>
      <c r="HY127" s="127"/>
      <c r="HZ127" s="127"/>
      <c r="IA127" s="127"/>
      <c r="IB127" s="127"/>
      <c r="IC127" s="127"/>
      <c r="ID127" s="127"/>
      <c r="IE127" s="127"/>
      <c r="IF127" s="127"/>
      <c r="IG127" s="127"/>
      <c r="IH127" s="127"/>
      <c r="II127" s="127"/>
      <c r="IJ127" s="127"/>
      <c r="IK127" s="127"/>
      <c r="IL127" s="127"/>
      <c r="IM127" s="127"/>
      <c r="IN127" s="127"/>
      <c r="IO127" s="127"/>
      <c r="IP127" s="127"/>
      <c r="IQ127" s="127"/>
      <c r="IR127" s="127"/>
      <c r="IS127" s="127"/>
      <c r="IT127" s="127"/>
      <c r="IU127" s="127"/>
      <c r="IV127" s="127"/>
    </row>
    <row r="128" spans="1:256" ht="25.5" x14ac:dyDescent="0.2">
      <c r="A128" s="129" t="s">
        <v>207</v>
      </c>
      <c r="B128" s="129"/>
      <c r="C128" s="391" t="s">
        <v>524</v>
      </c>
      <c r="D128" s="432">
        <v>191102</v>
      </c>
      <c r="E128" s="418">
        <f>0+[1]táj.1!E128</f>
        <v>0</v>
      </c>
      <c r="F128" s="418">
        <f>0+[1]táj.1!F128</f>
        <v>0</v>
      </c>
      <c r="G128" s="418">
        <f>0+[1]táj.1!G128</f>
        <v>0</v>
      </c>
      <c r="H128" s="418">
        <f>3000+[1]táj.1!H128</f>
        <v>3000</v>
      </c>
      <c r="I128" s="418">
        <f>0+[1]táj.1!I128</f>
        <v>0</v>
      </c>
      <c r="J128" s="418">
        <f>0+[1]táj.1!J128</f>
        <v>0</v>
      </c>
      <c r="K128" s="418">
        <f>0+[1]táj.1!K128</f>
        <v>0</v>
      </c>
      <c r="L128" s="418">
        <f>0+[1]táj.1!L128</f>
        <v>0</v>
      </c>
      <c r="M128" s="418">
        <f>0+[1]táj.1!M128</f>
        <v>0</v>
      </c>
      <c r="N128" s="418">
        <f>0+[1]táj.1!N128</f>
        <v>0</v>
      </c>
      <c r="O128" s="390">
        <f t="shared" ref="O128:O133" si="9">SUM(E128:N128)</f>
        <v>3000</v>
      </c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7"/>
      <c r="EI128" s="127"/>
      <c r="EJ128" s="127"/>
      <c r="EK128" s="127"/>
      <c r="EL128" s="127"/>
      <c r="EM128" s="127"/>
      <c r="EN128" s="127"/>
      <c r="EO128" s="127"/>
      <c r="EP128" s="127"/>
      <c r="EQ128" s="127"/>
      <c r="ER128" s="127"/>
      <c r="ES128" s="127"/>
      <c r="ET128" s="127"/>
      <c r="EU128" s="127"/>
      <c r="EV128" s="127"/>
      <c r="EW128" s="127"/>
      <c r="EX128" s="127"/>
      <c r="EY128" s="127"/>
      <c r="EZ128" s="127"/>
      <c r="FA128" s="127"/>
      <c r="FB128" s="127"/>
      <c r="FC128" s="127"/>
      <c r="FD128" s="127"/>
      <c r="FE128" s="127"/>
      <c r="FF128" s="127"/>
      <c r="FG128" s="127"/>
      <c r="FH128" s="127"/>
      <c r="FI128" s="127"/>
      <c r="FJ128" s="127"/>
      <c r="FK128" s="127"/>
      <c r="FL128" s="127"/>
      <c r="FM128" s="127"/>
      <c r="FN128" s="127"/>
      <c r="FO128" s="127"/>
      <c r="FP128" s="127"/>
      <c r="FQ128" s="127"/>
      <c r="FR128" s="127"/>
      <c r="FS128" s="127"/>
      <c r="FT128" s="127"/>
      <c r="FU128" s="127"/>
      <c r="FV128" s="127"/>
      <c r="FW128" s="127"/>
      <c r="FX128" s="127"/>
      <c r="FY128" s="127"/>
      <c r="FZ128" s="127"/>
      <c r="GA128" s="127"/>
      <c r="GB128" s="127"/>
      <c r="GC128" s="127"/>
      <c r="GD128" s="127"/>
      <c r="GE128" s="127"/>
      <c r="GF128" s="127"/>
      <c r="GG128" s="127"/>
      <c r="GH128" s="127"/>
      <c r="GI128" s="127"/>
      <c r="GJ128" s="127"/>
      <c r="GK128" s="127"/>
      <c r="GL128" s="127"/>
      <c r="GM128" s="127"/>
      <c r="GN128" s="127"/>
      <c r="GO128" s="127"/>
      <c r="GP128" s="127"/>
      <c r="GQ128" s="127"/>
      <c r="GR128" s="127"/>
      <c r="GS128" s="127"/>
      <c r="GT128" s="127"/>
      <c r="GU128" s="127"/>
      <c r="GV128" s="127"/>
      <c r="GW128" s="127"/>
      <c r="GX128" s="127"/>
      <c r="GY128" s="127"/>
      <c r="GZ128" s="127"/>
      <c r="HA128" s="127"/>
      <c r="HB128" s="127"/>
      <c r="HC128" s="127"/>
      <c r="HD128" s="127"/>
      <c r="HE128" s="127"/>
      <c r="HF128" s="127"/>
      <c r="HG128" s="127"/>
      <c r="HH128" s="127"/>
      <c r="HI128" s="127"/>
      <c r="HJ128" s="127"/>
      <c r="HK128" s="127"/>
      <c r="HL128" s="127"/>
      <c r="HM128" s="127"/>
      <c r="HN128" s="127"/>
      <c r="HO128" s="127"/>
      <c r="HP128" s="127"/>
      <c r="HQ128" s="127"/>
      <c r="HR128" s="127"/>
      <c r="HS128" s="127"/>
      <c r="HT128" s="127"/>
      <c r="HU128" s="127"/>
      <c r="HV128" s="127"/>
      <c r="HW128" s="127"/>
      <c r="HX128" s="127"/>
      <c r="HY128" s="127"/>
      <c r="HZ128" s="127"/>
      <c r="IA128" s="127"/>
      <c r="IB128" s="127"/>
      <c r="IC128" s="127"/>
      <c r="ID128" s="127"/>
      <c r="IE128" s="127"/>
      <c r="IF128" s="127"/>
      <c r="IG128" s="127"/>
      <c r="IH128" s="127"/>
      <c r="II128" s="127"/>
      <c r="IJ128" s="127"/>
      <c r="IK128" s="127"/>
      <c r="IL128" s="127"/>
      <c r="IM128" s="127"/>
      <c r="IN128" s="127"/>
      <c r="IO128" s="127"/>
      <c r="IP128" s="127"/>
      <c r="IQ128" s="127"/>
      <c r="IR128" s="127"/>
      <c r="IS128" s="127"/>
      <c r="IT128" s="127"/>
      <c r="IU128" s="127"/>
      <c r="IV128" s="127"/>
    </row>
    <row r="129" spans="1:256" x14ac:dyDescent="0.2">
      <c r="A129" s="129"/>
      <c r="B129" s="129"/>
      <c r="C129" s="393" t="s">
        <v>525</v>
      </c>
      <c r="D129" s="432">
        <v>191103</v>
      </c>
      <c r="E129" s="418">
        <f>0+[1]táj.1!E129</f>
        <v>0</v>
      </c>
      <c r="F129" s="418">
        <f>0+[1]táj.1!F129</f>
        <v>0</v>
      </c>
      <c r="G129" s="418">
        <f>0+[1]táj.1!G129</f>
        <v>0</v>
      </c>
      <c r="H129" s="418">
        <f>109044+[1]táj.1!H129</f>
        <v>111806</v>
      </c>
      <c r="I129" s="418">
        <f>0+[1]táj.1!I129</f>
        <v>0</v>
      </c>
      <c r="J129" s="418">
        <f>0+[1]táj.1!J129</f>
        <v>0</v>
      </c>
      <c r="K129" s="418">
        <f>0+[1]táj.1!K129</f>
        <v>0</v>
      </c>
      <c r="L129" s="418">
        <f>0+[1]táj.1!L129</f>
        <v>0</v>
      </c>
      <c r="M129" s="418">
        <f>0+[1]táj.1!M129</f>
        <v>0</v>
      </c>
      <c r="N129" s="418">
        <f>0+[1]táj.1!N129</f>
        <v>0</v>
      </c>
      <c r="O129" s="390">
        <f t="shared" si="9"/>
        <v>111806</v>
      </c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  <c r="CU129" s="127"/>
      <c r="CV129" s="127"/>
      <c r="CW129" s="127"/>
      <c r="CX129" s="127"/>
      <c r="CY129" s="127"/>
      <c r="CZ129" s="127"/>
      <c r="DA129" s="127"/>
      <c r="DB129" s="127"/>
      <c r="DC129" s="127"/>
      <c r="DD129" s="127"/>
      <c r="DE129" s="127"/>
      <c r="DF129" s="127"/>
      <c r="DG129" s="127"/>
      <c r="DH129" s="127"/>
      <c r="DI129" s="127"/>
      <c r="DJ129" s="127"/>
      <c r="DK129" s="127"/>
      <c r="DL129" s="127"/>
      <c r="DM129" s="127"/>
      <c r="DN129" s="127"/>
      <c r="DO129" s="127"/>
      <c r="DP129" s="127"/>
      <c r="DQ129" s="127"/>
      <c r="DR129" s="127"/>
      <c r="DS129" s="127"/>
      <c r="DT129" s="127"/>
      <c r="DU129" s="127"/>
      <c r="DV129" s="127"/>
      <c r="DW129" s="127"/>
      <c r="DX129" s="127"/>
      <c r="DY129" s="127"/>
      <c r="DZ129" s="127"/>
      <c r="EA129" s="127"/>
      <c r="EB129" s="127"/>
      <c r="EC129" s="127"/>
      <c r="ED129" s="127"/>
      <c r="EE129" s="127"/>
      <c r="EF129" s="127"/>
      <c r="EG129" s="127"/>
      <c r="EH129" s="127"/>
      <c r="EI129" s="127"/>
      <c r="EJ129" s="127"/>
      <c r="EK129" s="127"/>
      <c r="EL129" s="127"/>
      <c r="EM129" s="127"/>
      <c r="EN129" s="127"/>
      <c r="EO129" s="127"/>
      <c r="EP129" s="127"/>
      <c r="EQ129" s="127"/>
      <c r="ER129" s="127"/>
      <c r="ES129" s="127"/>
      <c r="ET129" s="127"/>
      <c r="EU129" s="127"/>
      <c r="EV129" s="127"/>
      <c r="EW129" s="127"/>
      <c r="EX129" s="127"/>
      <c r="EY129" s="127"/>
      <c r="EZ129" s="127"/>
      <c r="FA129" s="127"/>
      <c r="FB129" s="127"/>
      <c r="FC129" s="127"/>
      <c r="FD129" s="127"/>
      <c r="FE129" s="127"/>
      <c r="FF129" s="127"/>
      <c r="FG129" s="127"/>
      <c r="FH129" s="127"/>
      <c r="FI129" s="127"/>
      <c r="FJ129" s="127"/>
      <c r="FK129" s="127"/>
      <c r="FL129" s="127"/>
      <c r="FM129" s="127"/>
      <c r="FN129" s="127"/>
      <c r="FO129" s="127"/>
      <c r="FP129" s="127"/>
      <c r="FQ129" s="127"/>
      <c r="FR129" s="127"/>
      <c r="FS129" s="127"/>
      <c r="FT129" s="127"/>
      <c r="FU129" s="127"/>
      <c r="FV129" s="127"/>
      <c r="FW129" s="127"/>
      <c r="FX129" s="127"/>
      <c r="FY129" s="127"/>
      <c r="FZ129" s="127"/>
      <c r="GA129" s="127"/>
      <c r="GB129" s="127"/>
      <c r="GC129" s="127"/>
      <c r="GD129" s="127"/>
      <c r="GE129" s="127"/>
      <c r="GF129" s="127"/>
      <c r="GG129" s="127"/>
      <c r="GH129" s="127"/>
      <c r="GI129" s="127"/>
      <c r="GJ129" s="127"/>
      <c r="GK129" s="127"/>
      <c r="GL129" s="127"/>
      <c r="GM129" s="127"/>
      <c r="GN129" s="127"/>
      <c r="GO129" s="127"/>
      <c r="GP129" s="127"/>
      <c r="GQ129" s="127"/>
      <c r="GR129" s="127"/>
      <c r="GS129" s="127"/>
      <c r="GT129" s="127"/>
      <c r="GU129" s="127"/>
      <c r="GV129" s="127"/>
      <c r="GW129" s="127"/>
      <c r="GX129" s="127"/>
      <c r="GY129" s="127"/>
      <c r="GZ129" s="127"/>
      <c r="HA129" s="127"/>
      <c r="HB129" s="127"/>
      <c r="HC129" s="127"/>
      <c r="HD129" s="127"/>
      <c r="HE129" s="127"/>
      <c r="HF129" s="127"/>
      <c r="HG129" s="127"/>
      <c r="HH129" s="127"/>
      <c r="HI129" s="127"/>
      <c r="HJ129" s="127"/>
      <c r="HK129" s="127"/>
      <c r="HL129" s="127"/>
      <c r="HM129" s="127"/>
      <c r="HN129" s="127"/>
      <c r="HO129" s="127"/>
      <c r="HP129" s="127"/>
      <c r="HQ129" s="127"/>
      <c r="HR129" s="127"/>
      <c r="HS129" s="127"/>
      <c r="HT129" s="127"/>
      <c r="HU129" s="127"/>
      <c r="HV129" s="127"/>
      <c r="HW129" s="127"/>
      <c r="HX129" s="127"/>
      <c r="HY129" s="127"/>
      <c r="HZ129" s="127"/>
      <c r="IA129" s="127"/>
      <c r="IB129" s="127"/>
      <c r="IC129" s="127"/>
      <c r="ID129" s="127"/>
      <c r="IE129" s="127"/>
      <c r="IF129" s="127"/>
      <c r="IG129" s="127"/>
      <c r="IH129" s="127"/>
      <c r="II129" s="127"/>
      <c r="IJ129" s="127"/>
      <c r="IK129" s="127"/>
      <c r="IL129" s="127"/>
      <c r="IM129" s="127"/>
      <c r="IN129" s="127"/>
      <c r="IO129" s="127"/>
      <c r="IP129" s="127"/>
      <c r="IQ129" s="127"/>
      <c r="IR129" s="127"/>
      <c r="IS129" s="127"/>
      <c r="IT129" s="127"/>
      <c r="IU129" s="127"/>
      <c r="IV129" s="127"/>
    </row>
    <row r="130" spans="1:256" x14ac:dyDescent="0.2">
      <c r="A130" s="129"/>
      <c r="B130" s="129"/>
      <c r="C130" s="143" t="s">
        <v>1496</v>
      </c>
      <c r="D130" s="721">
        <v>191116</v>
      </c>
      <c r="E130" s="418">
        <f>0+[1]táj.1!E130</f>
        <v>128505</v>
      </c>
      <c r="F130" s="418">
        <f>0+[1]táj.1!F130</f>
        <v>0</v>
      </c>
      <c r="G130" s="418">
        <f>0+[1]táj.1!G130</f>
        <v>0</v>
      </c>
      <c r="H130" s="418">
        <f>0+[1]táj.1!H130</f>
        <v>0</v>
      </c>
      <c r="I130" s="418">
        <f>0+[1]táj.1!I130</f>
        <v>0</v>
      </c>
      <c r="J130" s="418">
        <f>0+[1]táj.1!J130</f>
        <v>0</v>
      </c>
      <c r="K130" s="418">
        <f>0+[1]táj.1!K130</f>
        <v>0</v>
      </c>
      <c r="L130" s="418">
        <f>0+[1]táj.1!L130</f>
        <v>0</v>
      </c>
      <c r="M130" s="418">
        <f>0+[1]táj.1!M130</f>
        <v>0</v>
      </c>
      <c r="N130" s="418">
        <f>0+[1]táj.1!N130</f>
        <v>0</v>
      </c>
      <c r="O130" s="390">
        <f t="shared" si="9"/>
        <v>128505</v>
      </c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7"/>
      <c r="EI130" s="127"/>
      <c r="EJ130" s="127"/>
      <c r="EK130" s="127"/>
      <c r="EL130" s="127"/>
      <c r="EM130" s="127"/>
      <c r="EN130" s="127"/>
      <c r="EO130" s="127"/>
      <c r="EP130" s="127"/>
      <c r="EQ130" s="127"/>
      <c r="ER130" s="127"/>
      <c r="ES130" s="127"/>
      <c r="ET130" s="127"/>
      <c r="EU130" s="127"/>
      <c r="EV130" s="127"/>
      <c r="EW130" s="127"/>
      <c r="EX130" s="127"/>
      <c r="EY130" s="127"/>
      <c r="EZ130" s="127"/>
      <c r="FA130" s="127"/>
      <c r="FB130" s="127"/>
      <c r="FC130" s="127"/>
      <c r="FD130" s="127"/>
      <c r="FE130" s="127"/>
      <c r="FF130" s="127"/>
      <c r="FG130" s="127"/>
      <c r="FH130" s="127"/>
      <c r="FI130" s="127"/>
      <c r="FJ130" s="127"/>
      <c r="FK130" s="127"/>
      <c r="FL130" s="127"/>
      <c r="FM130" s="127"/>
      <c r="FN130" s="127"/>
      <c r="FO130" s="127"/>
      <c r="FP130" s="127"/>
      <c r="FQ130" s="127"/>
      <c r="FR130" s="127"/>
      <c r="FS130" s="127"/>
      <c r="FT130" s="127"/>
      <c r="FU130" s="127"/>
      <c r="FV130" s="127"/>
      <c r="FW130" s="127"/>
      <c r="FX130" s="127"/>
      <c r="FY130" s="127"/>
      <c r="FZ130" s="127"/>
      <c r="GA130" s="127"/>
      <c r="GB130" s="127"/>
      <c r="GC130" s="127"/>
      <c r="GD130" s="127"/>
      <c r="GE130" s="127"/>
      <c r="GF130" s="127"/>
      <c r="GG130" s="127"/>
      <c r="GH130" s="127"/>
      <c r="GI130" s="127"/>
      <c r="GJ130" s="127"/>
      <c r="GK130" s="127"/>
      <c r="GL130" s="127"/>
      <c r="GM130" s="127"/>
      <c r="GN130" s="127"/>
      <c r="GO130" s="127"/>
      <c r="GP130" s="127"/>
      <c r="GQ130" s="127"/>
      <c r="GR130" s="127"/>
      <c r="GS130" s="127"/>
      <c r="GT130" s="127"/>
      <c r="GU130" s="127"/>
      <c r="GV130" s="127"/>
      <c r="GW130" s="127"/>
      <c r="GX130" s="127"/>
      <c r="GY130" s="127"/>
      <c r="GZ130" s="127"/>
      <c r="HA130" s="127"/>
      <c r="HB130" s="127"/>
      <c r="HC130" s="127"/>
      <c r="HD130" s="127"/>
      <c r="HE130" s="127"/>
      <c r="HF130" s="127"/>
      <c r="HG130" s="127"/>
      <c r="HH130" s="127"/>
      <c r="HI130" s="127"/>
      <c r="HJ130" s="127"/>
      <c r="HK130" s="127"/>
      <c r="HL130" s="127"/>
      <c r="HM130" s="127"/>
      <c r="HN130" s="127"/>
      <c r="HO130" s="127"/>
      <c r="HP130" s="127"/>
      <c r="HQ130" s="127"/>
      <c r="HR130" s="127"/>
      <c r="HS130" s="127"/>
      <c r="HT130" s="127"/>
      <c r="HU130" s="127"/>
      <c r="HV130" s="127"/>
      <c r="HW130" s="127"/>
      <c r="HX130" s="127"/>
      <c r="HY130" s="127"/>
      <c r="HZ130" s="127"/>
      <c r="IA130" s="127"/>
      <c r="IB130" s="127"/>
      <c r="IC130" s="127"/>
      <c r="ID130" s="127"/>
      <c r="IE130" s="127"/>
      <c r="IF130" s="127"/>
      <c r="IG130" s="127"/>
      <c r="IH130" s="127"/>
      <c r="II130" s="127"/>
      <c r="IJ130" s="127"/>
      <c r="IK130" s="127"/>
      <c r="IL130" s="127"/>
      <c r="IM130" s="127"/>
      <c r="IN130" s="127"/>
      <c r="IO130" s="127"/>
      <c r="IP130" s="127"/>
      <c r="IQ130" s="127"/>
      <c r="IR130" s="127"/>
      <c r="IS130" s="127"/>
      <c r="IT130" s="127"/>
      <c r="IU130" s="127"/>
      <c r="IV130" s="127"/>
    </row>
    <row r="131" spans="1:256" ht="25.5" x14ac:dyDescent="0.2">
      <c r="A131" s="129"/>
      <c r="B131" s="129"/>
      <c r="C131" s="724" t="s">
        <v>1497</v>
      </c>
      <c r="D131" s="725">
        <v>191132</v>
      </c>
      <c r="E131" s="418">
        <f>0+[1]táj.1!E131</f>
        <v>12270</v>
      </c>
      <c r="F131" s="418">
        <f>0+[1]táj.1!F131</f>
        <v>0</v>
      </c>
      <c r="G131" s="418">
        <f>0+[1]táj.1!G131</f>
        <v>0</v>
      </c>
      <c r="H131" s="418">
        <f>0+[1]táj.1!H131</f>
        <v>0</v>
      </c>
      <c r="I131" s="418">
        <f>0+[1]táj.1!I131</f>
        <v>0</v>
      </c>
      <c r="J131" s="418">
        <f>0+[1]táj.1!J131</f>
        <v>0</v>
      </c>
      <c r="K131" s="418">
        <f>0+[1]táj.1!K131</f>
        <v>0</v>
      </c>
      <c r="L131" s="418">
        <f>0+[1]táj.1!L131</f>
        <v>0</v>
      </c>
      <c r="M131" s="418">
        <f>0+[1]táj.1!M131</f>
        <v>0</v>
      </c>
      <c r="N131" s="418">
        <f>0+[1]táj.1!N131</f>
        <v>0</v>
      </c>
      <c r="O131" s="390">
        <f t="shared" si="9"/>
        <v>12270</v>
      </c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127"/>
      <c r="CG131" s="127"/>
      <c r="CH131" s="127"/>
      <c r="CI131" s="127"/>
      <c r="CJ131" s="127"/>
      <c r="CK131" s="127"/>
      <c r="CL131" s="127"/>
      <c r="CM131" s="127"/>
      <c r="CN131" s="127"/>
      <c r="CO131" s="127"/>
      <c r="CP131" s="127"/>
      <c r="CQ131" s="127"/>
      <c r="CR131" s="127"/>
      <c r="CS131" s="127"/>
      <c r="CT131" s="127"/>
      <c r="CU131" s="127"/>
      <c r="CV131" s="127"/>
      <c r="CW131" s="127"/>
      <c r="CX131" s="127"/>
      <c r="CY131" s="127"/>
      <c r="CZ131" s="127"/>
      <c r="DA131" s="127"/>
      <c r="DB131" s="127"/>
      <c r="DC131" s="127"/>
      <c r="DD131" s="127"/>
      <c r="DE131" s="127"/>
      <c r="DF131" s="127"/>
      <c r="DG131" s="127"/>
      <c r="DH131" s="127"/>
      <c r="DI131" s="127"/>
      <c r="DJ131" s="127"/>
      <c r="DK131" s="127"/>
      <c r="DL131" s="127"/>
      <c r="DM131" s="127"/>
      <c r="DN131" s="127"/>
      <c r="DO131" s="127"/>
      <c r="DP131" s="127"/>
      <c r="DQ131" s="127"/>
      <c r="DR131" s="127"/>
      <c r="DS131" s="127"/>
      <c r="DT131" s="127"/>
      <c r="DU131" s="127"/>
      <c r="DV131" s="127"/>
      <c r="DW131" s="127"/>
      <c r="DX131" s="127"/>
      <c r="DY131" s="127"/>
      <c r="DZ131" s="127"/>
      <c r="EA131" s="127"/>
      <c r="EB131" s="127"/>
      <c r="EC131" s="127"/>
      <c r="ED131" s="127"/>
      <c r="EE131" s="127"/>
      <c r="EF131" s="127"/>
      <c r="EG131" s="127"/>
      <c r="EH131" s="127"/>
      <c r="EI131" s="127"/>
      <c r="EJ131" s="127"/>
      <c r="EK131" s="127"/>
      <c r="EL131" s="127"/>
      <c r="EM131" s="127"/>
      <c r="EN131" s="127"/>
      <c r="EO131" s="127"/>
      <c r="EP131" s="127"/>
      <c r="EQ131" s="127"/>
      <c r="ER131" s="127"/>
      <c r="ES131" s="127"/>
      <c r="ET131" s="127"/>
      <c r="EU131" s="127"/>
      <c r="EV131" s="127"/>
      <c r="EW131" s="127"/>
      <c r="EX131" s="127"/>
      <c r="EY131" s="127"/>
      <c r="EZ131" s="127"/>
      <c r="FA131" s="127"/>
      <c r="FB131" s="127"/>
      <c r="FC131" s="127"/>
      <c r="FD131" s="127"/>
      <c r="FE131" s="127"/>
      <c r="FF131" s="127"/>
      <c r="FG131" s="127"/>
      <c r="FH131" s="127"/>
      <c r="FI131" s="127"/>
      <c r="FJ131" s="127"/>
      <c r="FK131" s="127"/>
      <c r="FL131" s="127"/>
      <c r="FM131" s="127"/>
      <c r="FN131" s="127"/>
      <c r="FO131" s="127"/>
      <c r="FP131" s="127"/>
      <c r="FQ131" s="127"/>
      <c r="FR131" s="127"/>
      <c r="FS131" s="127"/>
      <c r="FT131" s="127"/>
      <c r="FU131" s="127"/>
      <c r="FV131" s="127"/>
      <c r="FW131" s="127"/>
      <c r="FX131" s="127"/>
      <c r="FY131" s="127"/>
      <c r="FZ131" s="127"/>
      <c r="GA131" s="127"/>
      <c r="GB131" s="127"/>
      <c r="GC131" s="127"/>
      <c r="GD131" s="127"/>
      <c r="GE131" s="127"/>
      <c r="GF131" s="127"/>
      <c r="GG131" s="127"/>
      <c r="GH131" s="127"/>
      <c r="GI131" s="127"/>
      <c r="GJ131" s="127"/>
      <c r="GK131" s="127"/>
      <c r="GL131" s="127"/>
      <c r="GM131" s="127"/>
      <c r="GN131" s="127"/>
      <c r="GO131" s="127"/>
      <c r="GP131" s="127"/>
      <c r="GQ131" s="127"/>
      <c r="GR131" s="127"/>
      <c r="GS131" s="127"/>
      <c r="GT131" s="127"/>
      <c r="GU131" s="127"/>
      <c r="GV131" s="127"/>
      <c r="GW131" s="127"/>
      <c r="GX131" s="127"/>
      <c r="GY131" s="127"/>
      <c r="GZ131" s="127"/>
      <c r="HA131" s="127"/>
      <c r="HB131" s="127"/>
      <c r="HC131" s="127"/>
      <c r="HD131" s="127"/>
      <c r="HE131" s="127"/>
      <c r="HF131" s="127"/>
      <c r="HG131" s="127"/>
      <c r="HH131" s="127"/>
      <c r="HI131" s="127"/>
      <c r="HJ131" s="127"/>
      <c r="HK131" s="127"/>
      <c r="HL131" s="127"/>
      <c r="HM131" s="127"/>
      <c r="HN131" s="127"/>
      <c r="HO131" s="127"/>
      <c r="HP131" s="127"/>
      <c r="HQ131" s="127"/>
      <c r="HR131" s="127"/>
      <c r="HS131" s="127"/>
      <c r="HT131" s="127"/>
      <c r="HU131" s="127"/>
      <c r="HV131" s="127"/>
      <c r="HW131" s="127"/>
      <c r="HX131" s="127"/>
      <c r="HY131" s="127"/>
      <c r="HZ131" s="127"/>
      <c r="IA131" s="127"/>
      <c r="IB131" s="127"/>
      <c r="IC131" s="127"/>
      <c r="ID131" s="127"/>
      <c r="IE131" s="127"/>
      <c r="IF131" s="127"/>
      <c r="IG131" s="127"/>
      <c r="IH131" s="127"/>
      <c r="II131" s="127"/>
      <c r="IJ131" s="127"/>
      <c r="IK131" s="127"/>
      <c r="IL131" s="127"/>
      <c r="IM131" s="127"/>
      <c r="IN131" s="127"/>
      <c r="IO131" s="127"/>
      <c r="IP131" s="127"/>
      <c r="IQ131" s="127"/>
      <c r="IR131" s="127"/>
      <c r="IS131" s="127"/>
      <c r="IT131" s="127"/>
      <c r="IU131" s="127"/>
      <c r="IV131" s="127"/>
    </row>
    <row r="132" spans="1:256" x14ac:dyDescent="0.2">
      <c r="A132" s="129"/>
      <c r="B132" s="129"/>
      <c r="C132" s="393" t="s">
        <v>526</v>
      </c>
      <c r="D132" s="432">
        <v>196919</v>
      </c>
      <c r="E132" s="418">
        <f>0+[1]táj.1!E132</f>
        <v>0</v>
      </c>
      <c r="F132" s="418">
        <f>0+[1]táj.1!F132</f>
        <v>0</v>
      </c>
      <c r="G132" s="418">
        <f>0+[1]táj.1!G132</f>
        <v>0</v>
      </c>
      <c r="H132" s="418">
        <f>0+[1]táj.1!H132</f>
        <v>0</v>
      </c>
      <c r="I132" s="418">
        <f>0+[1]táj.1!I132</f>
        <v>0</v>
      </c>
      <c r="J132" s="418">
        <f>0+[1]táj.1!J132</f>
        <v>0</v>
      </c>
      <c r="K132" s="418">
        <f>0+[1]táj.1!K132</f>
        <v>0</v>
      </c>
      <c r="L132" s="418">
        <f>0+[1]táj.1!L132</f>
        <v>0</v>
      </c>
      <c r="M132" s="418">
        <f>0+[1]táj.1!M132</f>
        <v>0</v>
      </c>
      <c r="N132" s="418">
        <f>12200000+[1]táj.1!N132</f>
        <v>12200000</v>
      </c>
      <c r="O132" s="390">
        <f t="shared" si="9"/>
        <v>12200000</v>
      </c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27"/>
      <c r="EI132" s="127"/>
      <c r="EJ132" s="127"/>
      <c r="EK132" s="127"/>
      <c r="EL132" s="127"/>
      <c r="EM132" s="127"/>
      <c r="EN132" s="127"/>
      <c r="EO132" s="127"/>
      <c r="EP132" s="127"/>
      <c r="EQ132" s="127"/>
      <c r="ER132" s="127"/>
      <c r="ES132" s="127"/>
      <c r="ET132" s="127"/>
      <c r="EU132" s="127"/>
      <c r="EV132" s="127"/>
      <c r="EW132" s="127"/>
      <c r="EX132" s="127"/>
      <c r="EY132" s="127"/>
      <c r="EZ132" s="127"/>
      <c r="FA132" s="127"/>
      <c r="FB132" s="127"/>
      <c r="FC132" s="127"/>
      <c r="FD132" s="127"/>
      <c r="FE132" s="127"/>
      <c r="FF132" s="127"/>
      <c r="FG132" s="127"/>
      <c r="FH132" s="127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27"/>
      <c r="FX132" s="127"/>
      <c r="FY132" s="127"/>
      <c r="FZ132" s="127"/>
      <c r="GA132" s="127"/>
      <c r="GB132" s="127"/>
      <c r="GC132" s="127"/>
      <c r="GD132" s="127"/>
      <c r="GE132" s="127"/>
      <c r="GF132" s="127"/>
      <c r="GG132" s="127"/>
      <c r="GH132" s="127"/>
      <c r="GI132" s="127"/>
      <c r="GJ132" s="127"/>
      <c r="GK132" s="127"/>
      <c r="GL132" s="127"/>
      <c r="GM132" s="127"/>
      <c r="GN132" s="127"/>
      <c r="GO132" s="127"/>
      <c r="GP132" s="127"/>
      <c r="GQ132" s="127"/>
      <c r="GR132" s="127"/>
      <c r="GS132" s="127"/>
      <c r="GT132" s="127"/>
      <c r="GU132" s="127"/>
      <c r="GV132" s="127"/>
      <c r="GW132" s="127"/>
      <c r="GX132" s="127"/>
      <c r="GY132" s="127"/>
      <c r="GZ132" s="127"/>
      <c r="HA132" s="127"/>
      <c r="HB132" s="127"/>
      <c r="HC132" s="127"/>
      <c r="HD132" s="127"/>
      <c r="HE132" s="127"/>
      <c r="HF132" s="127"/>
      <c r="HG132" s="127"/>
      <c r="HH132" s="127"/>
      <c r="HI132" s="127"/>
      <c r="HJ132" s="127"/>
      <c r="HK132" s="127"/>
      <c r="HL132" s="127"/>
      <c r="HM132" s="127"/>
      <c r="HN132" s="127"/>
      <c r="HO132" s="127"/>
      <c r="HP132" s="127"/>
      <c r="HQ132" s="127"/>
      <c r="HR132" s="127"/>
      <c r="HS132" s="127"/>
      <c r="HT132" s="127"/>
      <c r="HU132" s="127"/>
      <c r="HV132" s="127"/>
      <c r="HW132" s="127"/>
      <c r="HX132" s="127"/>
      <c r="HY132" s="127"/>
      <c r="HZ132" s="127"/>
      <c r="IA132" s="127"/>
      <c r="IB132" s="127"/>
      <c r="IC132" s="127"/>
      <c r="ID132" s="127"/>
      <c r="IE132" s="127"/>
      <c r="IF132" s="127"/>
      <c r="IG132" s="127"/>
      <c r="IH132" s="127"/>
      <c r="II132" s="127"/>
      <c r="IJ132" s="127"/>
      <c r="IK132" s="127"/>
      <c r="IL132" s="127"/>
      <c r="IM132" s="127"/>
      <c r="IN132" s="127"/>
      <c r="IO132" s="127"/>
      <c r="IP132" s="127"/>
      <c r="IQ132" s="127"/>
      <c r="IR132" s="127"/>
      <c r="IS132" s="127"/>
      <c r="IT132" s="127"/>
      <c r="IU132" s="127"/>
      <c r="IV132" s="127"/>
    </row>
    <row r="133" spans="1:256" ht="25.5" x14ac:dyDescent="0.2">
      <c r="A133" s="129"/>
      <c r="B133" s="129"/>
      <c r="C133" s="391" t="s">
        <v>1416</v>
      </c>
      <c r="D133" s="423">
        <v>191196</v>
      </c>
      <c r="E133" s="418">
        <f>0+[1]táj.1!E133</f>
        <v>0</v>
      </c>
      <c r="F133" s="418">
        <f>0+[1]táj.1!F133</f>
        <v>0</v>
      </c>
      <c r="G133" s="418">
        <f>0+[1]táj.1!G133</f>
        <v>0</v>
      </c>
      <c r="H133" s="418">
        <f>0+[1]táj.1!H133</f>
        <v>0</v>
      </c>
      <c r="I133" s="418">
        <f>0+[1]táj.1!I133</f>
        <v>0</v>
      </c>
      <c r="J133" s="418">
        <f>0+[1]táj.1!J133</f>
        <v>0</v>
      </c>
      <c r="K133" s="418">
        <f>0+[1]táj.1!K133</f>
        <v>0</v>
      </c>
      <c r="L133" s="418">
        <f>0+[1]táj.1!L133</f>
        <v>0</v>
      </c>
      <c r="M133" s="418">
        <f>1239885+[1]táj.1!M133</f>
        <v>1332263</v>
      </c>
      <c r="N133" s="418">
        <f>250000+[1]táj.1!N133</f>
        <v>250000</v>
      </c>
      <c r="O133" s="390">
        <f t="shared" si="9"/>
        <v>1582263</v>
      </c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  <c r="CU133" s="127"/>
      <c r="CV133" s="127"/>
      <c r="CW133" s="127"/>
      <c r="CX133" s="127"/>
      <c r="CY133" s="127"/>
      <c r="CZ133" s="127"/>
      <c r="DA133" s="127"/>
      <c r="DB133" s="127"/>
      <c r="DC133" s="127"/>
      <c r="DD133" s="127"/>
      <c r="DE133" s="127"/>
      <c r="DF133" s="127"/>
      <c r="DG133" s="127"/>
      <c r="DH133" s="127"/>
      <c r="DI133" s="127"/>
      <c r="DJ133" s="127"/>
      <c r="DK133" s="127"/>
      <c r="DL133" s="127"/>
      <c r="DM133" s="127"/>
      <c r="DN133" s="127"/>
      <c r="DO133" s="127"/>
      <c r="DP133" s="127"/>
      <c r="DQ133" s="127"/>
      <c r="DR133" s="127"/>
      <c r="DS133" s="127"/>
      <c r="DT133" s="127"/>
      <c r="DU133" s="127"/>
      <c r="DV133" s="127"/>
      <c r="DW133" s="127"/>
      <c r="DX133" s="127"/>
      <c r="DY133" s="127"/>
      <c r="DZ133" s="127"/>
      <c r="EA133" s="127"/>
      <c r="EB133" s="127"/>
      <c r="EC133" s="127"/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27"/>
      <c r="EP133" s="127"/>
      <c r="EQ133" s="127"/>
      <c r="ER133" s="127"/>
      <c r="ES133" s="127"/>
      <c r="ET133" s="127"/>
      <c r="EU133" s="127"/>
      <c r="EV133" s="127"/>
      <c r="EW133" s="127"/>
      <c r="EX133" s="127"/>
      <c r="EY133" s="127"/>
      <c r="EZ133" s="127"/>
      <c r="FA133" s="127"/>
      <c r="FB133" s="127"/>
      <c r="FC133" s="127"/>
      <c r="FD133" s="127"/>
      <c r="FE133" s="127"/>
      <c r="FF133" s="127"/>
      <c r="FG133" s="127"/>
      <c r="FH133" s="127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27"/>
      <c r="FX133" s="127"/>
      <c r="FY133" s="127"/>
      <c r="FZ133" s="127"/>
      <c r="GA133" s="127"/>
      <c r="GB133" s="127"/>
      <c r="GC133" s="127"/>
      <c r="GD133" s="127"/>
      <c r="GE133" s="127"/>
      <c r="GF133" s="127"/>
      <c r="GG133" s="127"/>
      <c r="GH133" s="127"/>
      <c r="GI133" s="127"/>
      <c r="GJ133" s="127"/>
      <c r="GK133" s="127"/>
      <c r="GL133" s="127"/>
      <c r="GM133" s="127"/>
      <c r="GN133" s="127"/>
      <c r="GO133" s="127"/>
      <c r="GP133" s="127"/>
      <c r="GQ133" s="127"/>
      <c r="GR133" s="127"/>
      <c r="GS133" s="127"/>
      <c r="GT133" s="127"/>
      <c r="GU133" s="127"/>
      <c r="GV133" s="127"/>
      <c r="GW133" s="127"/>
      <c r="GX133" s="127"/>
      <c r="GY133" s="127"/>
      <c r="GZ133" s="127"/>
      <c r="HA133" s="127"/>
      <c r="HB133" s="127"/>
      <c r="HC133" s="127"/>
      <c r="HD133" s="127"/>
      <c r="HE133" s="127"/>
      <c r="HF133" s="127"/>
      <c r="HG133" s="127"/>
      <c r="HH133" s="127"/>
      <c r="HI133" s="127"/>
      <c r="HJ133" s="127"/>
      <c r="HK133" s="127"/>
      <c r="HL133" s="127"/>
      <c r="HM133" s="127"/>
      <c r="HN133" s="127"/>
      <c r="HO133" s="127"/>
      <c r="HP133" s="127"/>
      <c r="HQ133" s="127"/>
      <c r="HR133" s="127"/>
      <c r="HS133" s="127"/>
      <c r="HT133" s="127"/>
      <c r="HU133" s="127"/>
      <c r="HV133" s="127"/>
      <c r="HW133" s="127"/>
      <c r="HX133" s="127"/>
      <c r="HY133" s="127"/>
      <c r="HZ133" s="127"/>
      <c r="IA133" s="127"/>
      <c r="IB133" s="127"/>
      <c r="IC133" s="127"/>
      <c r="ID133" s="127"/>
      <c r="IE133" s="127"/>
      <c r="IF133" s="127"/>
      <c r="IG133" s="127"/>
      <c r="IH133" s="127"/>
      <c r="II133" s="127"/>
      <c r="IJ133" s="127"/>
      <c r="IK133" s="127"/>
      <c r="IL133" s="127"/>
      <c r="IM133" s="127"/>
      <c r="IN133" s="127"/>
      <c r="IO133" s="127"/>
      <c r="IP133" s="127"/>
      <c r="IQ133" s="127"/>
      <c r="IR133" s="127"/>
      <c r="IS133" s="127"/>
      <c r="IT133" s="127"/>
      <c r="IU133" s="127"/>
      <c r="IV133" s="127"/>
    </row>
    <row r="134" spans="1:256" ht="25.5" x14ac:dyDescent="0.2">
      <c r="A134" s="129"/>
      <c r="B134" s="129"/>
      <c r="C134" s="391" t="s">
        <v>527</v>
      </c>
      <c r="D134" s="433"/>
      <c r="E134" s="418"/>
      <c r="F134" s="418"/>
      <c r="G134" s="418"/>
      <c r="H134" s="418"/>
      <c r="I134" s="418"/>
      <c r="J134" s="418"/>
      <c r="K134" s="418"/>
      <c r="L134" s="418"/>
      <c r="M134" s="418"/>
      <c r="N134" s="418"/>
      <c r="O134" s="390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/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7"/>
      <c r="DZ134" s="127"/>
      <c r="EA134" s="127"/>
      <c r="EB134" s="127"/>
      <c r="EC134" s="127"/>
      <c r="ED134" s="127"/>
      <c r="EE134" s="127"/>
      <c r="EF134" s="127"/>
      <c r="EG134" s="127"/>
      <c r="EH134" s="127"/>
      <c r="EI134" s="127"/>
      <c r="EJ134" s="127"/>
      <c r="EK134" s="127"/>
      <c r="EL134" s="127"/>
      <c r="EM134" s="127"/>
      <c r="EN134" s="127"/>
      <c r="EO134" s="127"/>
      <c r="EP134" s="127"/>
      <c r="EQ134" s="127"/>
      <c r="ER134" s="127"/>
      <c r="ES134" s="127"/>
      <c r="ET134" s="127"/>
      <c r="EU134" s="127"/>
      <c r="EV134" s="127"/>
      <c r="EW134" s="127"/>
      <c r="EX134" s="127"/>
      <c r="EY134" s="127"/>
      <c r="EZ134" s="127"/>
      <c r="FA134" s="127"/>
      <c r="FB134" s="127"/>
      <c r="FC134" s="127"/>
      <c r="FD134" s="127"/>
      <c r="FE134" s="127"/>
      <c r="FF134" s="127"/>
      <c r="FG134" s="127"/>
      <c r="FH134" s="127"/>
      <c r="FI134" s="127"/>
      <c r="FJ134" s="127"/>
      <c r="FK134" s="127"/>
      <c r="FL134" s="127"/>
      <c r="FM134" s="127"/>
      <c r="FN134" s="127"/>
      <c r="FO134" s="127"/>
      <c r="FP134" s="127"/>
      <c r="FQ134" s="127"/>
      <c r="FR134" s="127"/>
      <c r="FS134" s="127"/>
      <c r="FT134" s="127"/>
      <c r="FU134" s="127"/>
      <c r="FV134" s="127"/>
      <c r="FW134" s="127"/>
      <c r="FX134" s="127"/>
      <c r="FY134" s="127"/>
      <c r="FZ134" s="127"/>
      <c r="GA134" s="127"/>
      <c r="GB134" s="127"/>
      <c r="GC134" s="127"/>
      <c r="GD134" s="127"/>
      <c r="GE134" s="127"/>
      <c r="GF134" s="127"/>
      <c r="GG134" s="127"/>
      <c r="GH134" s="127"/>
      <c r="GI134" s="127"/>
      <c r="GJ134" s="127"/>
      <c r="GK134" s="127"/>
      <c r="GL134" s="127"/>
      <c r="GM134" s="127"/>
      <c r="GN134" s="127"/>
      <c r="GO134" s="127"/>
      <c r="GP134" s="127"/>
      <c r="GQ134" s="127"/>
      <c r="GR134" s="127"/>
      <c r="GS134" s="127"/>
      <c r="GT134" s="127"/>
      <c r="GU134" s="127"/>
      <c r="GV134" s="127"/>
      <c r="GW134" s="127"/>
      <c r="GX134" s="127"/>
      <c r="GY134" s="127"/>
      <c r="GZ134" s="127"/>
      <c r="HA134" s="127"/>
      <c r="HB134" s="127"/>
      <c r="HC134" s="127"/>
      <c r="HD134" s="127"/>
      <c r="HE134" s="127"/>
      <c r="HF134" s="127"/>
      <c r="HG134" s="127"/>
      <c r="HH134" s="127"/>
      <c r="HI134" s="127"/>
      <c r="HJ134" s="127"/>
      <c r="HK134" s="127"/>
      <c r="HL134" s="127"/>
      <c r="HM134" s="127"/>
      <c r="HN134" s="127"/>
      <c r="HO134" s="127"/>
      <c r="HP134" s="127"/>
      <c r="HQ134" s="127"/>
      <c r="HR134" s="127"/>
      <c r="HS134" s="127"/>
      <c r="HT134" s="127"/>
      <c r="HU134" s="127"/>
      <c r="HV134" s="127"/>
      <c r="HW134" s="127"/>
      <c r="HX134" s="127"/>
      <c r="HY134" s="127"/>
      <c r="HZ134" s="127"/>
      <c r="IA134" s="127"/>
      <c r="IB134" s="127"/>
      <c r="IC134" s="127"/>
      <c r="ID134" s="127"/>
      <c r="IE134" s="127"/>
      <c r="IF134" s="127"/>
      <c r="IG134" s="127"/>
      <c r="IH134" s="127"/>
      <c r="II134" s="127"/>
      <c r="IJ134" s="127"/>
      <c r="IK134" s="127"/>
      <c r="IL134" s="127"/>
      <c r="IM134" s="127"/>
      <c r="IN134" s="127"/>
      <c r="IO134" s="127"/>
      <c r="IP134" s="127"/>
      <c r="IQ134" s="127"/>
      <c r="IR134" s="127"/>
      <c r="IS134" s="127"/>
      <c r="IT134" s="127"/>
      <c r="IU134" s="127"/>
      <c r="IV134" s="127"/>
    </row>
    <row r="135" spans="1:256" ht="25.5" x14ac:dyDescent="0.2">
      <c r="A135" s="129"/>
      <c r="B135" s="129"/>
      <c r="C135" s="406" t="s">
        <v>528</v>
      </c>
      <c r="D135" s="421">
        <v>191901</v>
      </c>
      <c r="E135" s="418">
        <f>109243+[1]táj.1!E135</f>
        <v>113739</v>
      </c>
      <c r="F135" s="418">
        <f>0+[1]táj.1!F135</f>
        <v>0</v>
      </c>
      <c r="G135" s="418">
        <f>0+[1]táj.1!G135</f>
        <v>0</v>
      </c>
      <c r="H135" s="418">
        <f>0+[1]táj.1!H135</f>
        <v>0</v>
      </c>
      <c r="I135" s="418">
        <f>0+[1]táj.1!I135</f>
        <v>0</v>
      </c>
      <c r="J135" s="418">
        <f>0+[1]táj.1!J135</f>
        <v>0</v>
      </c>
      <c r="K135" s="418">
        <f>0+[1]táj.1!K135</f>
        <v>0</v>
      </c>
      <c r="L135" s="418">
        <f>0+[1]táj.1!L135</f>
        <v>0</v>
      </c>
      <c r="M135" s="418">
        <f>0+[1]táj.1!M135</f>
        <v>0</v>
      </c>
      <c r="N135" s="418">
        <f>0+[1]táj.1!N135</f>
        <v>0</v>
      </c>
      <c r="O135" s="390">
        <f t="shared" ref="O135:O144" si="10">SUM(E135:N135)</f>
        <v>113739</v>
      </c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127"/>
      <c r="CG135" s="127"/>
      <c r="CH135" s="127"/>
      <c r="CI135" s="127"/>
      <c r="CJ135" s="127"/>
      <c r="CK135" s="127"/>
      <c r="CL135" s="127"/>
      <c r="CM135" s="127"/>
      <c r="CN135" s="127"/>
      <c r="CO135" s="127"/>
      <c r="CP135" s="127"/>
      <c r="CQ135" s="127"/>
      <c r="CR135" s="127"/>
      <c r="CS135" s="127"/>
      <c r="CT135" s="127"/>
      <c r="CU135" s="127"/>
      <c r="CV135" s="127"/>
      <c r="CW135" s="127"/>
      <c r="CX135" s="127"/>
      <c r="CY135" s="127"/>
      <c r="CZ135" s="127"/>
      <c r="DA135" s="127"/>
      <c r="DB135" s="127"/>
      <c r="DC135" s="127"/>
      <c r="DD135" s="127"/>
      <c r="DE135" s="127"/>
      <c r="DF135" s="127"/>
      <c r="DG135" s="127"/>
      <c r="DH135" s="127"/>
      <c r="DI135" s="127"/>
      <c r="DJ135" s="127"/>
      <c r="DK135" s="127"/>
      <c r="DL135" s="127"/>
      <c r="DM135" s="127"/>
      <c r="DN135" s="127"/>
      <c r="DO135" s="127"/>
      <c r="DP135" s="127"/>
      <c r="DQ135" s="127"/>
      <c r="DR135" s="127"/>
      <c r="DS135" s="127"/>
      <c r="DT135" s="127"/>
      <c r="DU135" s="127"/>
      <c r="DV135" s="127"/>
      <c r="DW135" s="127"/>
      <c r="DX135" s="127"/>
      <c r="DY135" s="127"/>
      <c r="DZ135" s="127"/>
      <c r="EA135" s="127"/>
      <c r="EB135" s="127"/>
      <c r="EC135" s="127"/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27"/>
      <c r="EP135" s="127"/>
      <c r="EQ135" s="127"/>
      <c r="ER135" s="127"/>
      <c r="ES135" s="127"/>
      <c r="ET135" s="127"/>
      <c r="EU135" s="127"/>
      <c r="EV135" s="127"/>
      <c r="EW135" s="127"/>
      <c r="EX135" s="127"/>
      <c r="EY135" s="127"/>
      <c r="EZ135" s="127"/>
      <c r="FA135" s="127"/>
      <c r="FB135" s="127"/>
      <c r="FC135" s="127"/>
      <c r="FD135" s="127"/>
      <c r="FE135" s="127"/>
      <c r="FF135" s="127"/>
      <c r="FG135" s="127"/>
      <c r="FH135" s="127"/>
      <c r="FI135" s="127"/>
      <c r="FJ135" s="127"/>
      <c r="FK135" s="127"/>
      <c r="FL135" s="127"/>
      <c r="FM135" s="127"/>
      <c r="FN135" s="127"/>
      <c r="FO135" s="127"/>
      <c r="FP135" s="127"/>
      <c r="FQ135" s="127"/>
      <c r="FR135" s="127"/>
      <c r="FS135" s="127"/>
      <c r="FT135" s="127"/>
      <c r="FU135" s="127"/>
      <c r="FV135" s="127"/>
      <c r="FW135" s="127"/>
      <c r="FX135" s="127"/>
      <c r="FY135" s="127"/>
      <c r="FZ135" s="127"/>
      <c r="GA135" s="127"/>
      <c r="GB135" s="127"/>
      <c r="GC135" s="127"/>
      <c r="GD135" s="127"/>
      <c r="GE135" s="127"/>
      <c r="GF135" s="127"/>
      <c r="GG135" s="127"/>
      <c r="GH135" s="127"/>
      <c r="GI135" s="127"/>
      <c r="GJ135" s="127"/>
      <c r="GK135" s="127"/>
      <c r="GL135" s="127"/>
      <c r="GM135" s="127"/>
      <c r="GN135" s="127"/>
      <c r="GO135" s="127"/>
      <c r="GP135" s="127"/>
      <c r="GQ135" s="127"/>
      <c r="GR135" s="127"/>
      <c r="GS135" s="127"/>
      <c r="GT135" s="127"/>
      <c r="GU135" s="127"/>
      <c r="GV135" s="127"/>
      <c r="GW135" s="127"/>
      <c r="GX135" s="127"/>
      <c r="GY135" s="127"/>
      <c r="GZ135" s="127"/>
      <c r="HA135" s="127"/>
      <c r="HB135" s="127"/>
      <c r="HC135" s="127"/>
      <c r="HD135" s="127"/>
      <c r="HE135" s="127"/>
      <c r="HF135" s="127"/>
      <c r="HG135" s="127"/>
      <c r="HH135" s="127"/>
      <c r="HI135" s="127"/>
      <c r="HJ135" s="127"/>
      <c r="HK135" s="127"/>
      <c r="HL135" s="127"/>
      <c r="HM135" s="127"/>
      <c r="HN135" s="127"/>
      <c r="HO135" s="127"/>
      <c r="HP135" s="127"/>
      <c r="HQ135" s="127"/>
      <c r="HR135" s="127"/>
      <c r="HS135" s="127"/>
      <c r="HT135" s="127"/>
      <c r="HU135" s="127"/>
      <c r="HV135" s="127"/>
      <c r="HW135" s="127"/>
      <c r="HX135" s="127"/>
      <c r="HY135" s="127"/>
      <c r="HZ135" s="127"/>
      <c r="IA135" s="127"/>
      <c r="IB135" s="127"/>
      <c r="IC135" s="127"/>
      <c r="ID135" s="127"/>
      <c r="IE135" s="127"/>
      <c r="IF135" s="127"/>
      <c r="IG135" s="127"/>
      <c r="IH135" s="127"/>
      <c r="II135" s="127"/>
      <c r="IJ135" s="127"/>
      <c r="IK135" s="127"/>
      <c r="IL135" s="127"/>
      <c r="IM135" s="127"/>
      <c r="IN135" s="127"/>
      <c r="IO135" s="127"/>
      <c r="IP135" s="127"/>
      <c r="IQ135" s="127"/>
      <c r="IR135" s="127"/>
      <c r="IS135" s="127"/>
      <c r="IT135" s="127"/>
      <c r="IU135" s="127"/>
      <c r="IV135" s="127"/>
    </row>
    <row r="136" spans="1:256" ht="25.5" x14ac:dyDescent="0.2">
      <c r="A136" s="129"/>
      <c r="B136" s="129"/>
      <c r="C136" s="406" t="s">
        <v>529</v>
      </c>
      <c r="D136" s="421">
        <v>191901</v>
      </c>
      <c r="E136" s="418">
        <f>1028163+[1]táj.1!E136</f>
        <v>1028163</v>
      </c>
      <c r="F136" s="418">
        <f>0+[1]táj.1!F136</f>
        <v>0</v>
      </c>
      <c r="G136" s="418">
        <f>0+[1]táj.1!G136</f>
        <v>0</v>
      </c>
      <c r="H136" s="418">
        <f>0+[1]táj.1!H136</f>
        <v>0</v>
      </c>
      <c r="I136" s="418">
        <f>0+[1]táj.1!I136</f>
        <v>0</v>
      </c>
      <c r="J136" s="418">
        <f>0+[1]táj.1!J136</f>
        <v>0</v>
      </c>
      <c r="K136" s="418">
        <f>0+[1]táj.1!K136</f>
        <v>0</v>
      </c>
      <c r="L136" s="418">
        <f>0+[1]táj.1!L136</f>
        <v>0</v>
      </c>
      <c r="M136" s="418">
        <f>0+[1]táj.1!M136</f>
        <v>0</v>
      </c>
      <c r="N136" s="418">
        <f>0+[1]táj.1!N136</f>
        <v>0</v>
      </c>
      <c r="O136" s="390">
        <f t="shared" si="10"/>
        <v>1028163</v>
      </c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127"/>
      <c r="EZ136" s="127"/>
      <c r="FA136" s="127"/>
      <c r="FB136" s="127"/>
      <c r="FC136" s="127"/>
      <c r="FD136" s="127"/>
      <c r="FE136" s="127"/>
      <c r="FF136" s="127"/>
      <c r="FG136" s="127"/>
      <c r="FH136" s="127"/>
      <c r="FI136" s="127"/>
      <c r="FJ136" s="127"/>
      <c r="FK136" s="127"/>
      <c r="FL136" s="127"/>
      <c r="FM136" s="127"/>
      <c r="FN136" s="127"/>
      <c r="FO136" s="127"/>
      <c r="FP136" s="127"/>
      <c r="FQ136" s="127"/>
      <c r="FR136" s="127"/>
      <c r="FS136" s="127"/>
      <c r="FT136" s="127"/>
      <c r="FU136" s="127"/>
      <c r="FV136" s="127"/>
      <c r="FW136" s="127"/>
      <c r="FX136" s="127"/>
      <c r="FY136" s="127"/>
      <c r="FZ136" s="127"/>
      <c r="GA136" s="127"/>
      <c r="GB136" s="127"/>
      <c r="GC136" s="127"/>
      <c r="GD136" s="127"/>
      <c r="GE136" s="127"/>
      <c r="GF136" s="127"/>
      <c r="GG136" s="127"/>
      <c r="GH136" s="127"/>
      <c r="GI136" s="127"/>
      <c r="GJ136" s="127"/>
      <c r="GK136" s="127"/>
      <c r="GL136" s="127"/>
      <c r="GM136" s="127"/>
      <c r="GN136" s="127"/>
      <c r="GO136" s="127"/>
      <c r="GP136" s="127"/>
      <c r="GQ136" s="127"/>
      <c r="GR136" s="127"/>
      <c r="GS136" s="127"/>
      <c r="GT136" s="127"/>
      <c r="GU136" s="127"/>
      <c r="GV136" s="127"/>
      <c r="GW136" s="127"/>
      <c r="GX136" s="127"/>
      <c r="GY136" s="127"/>
      <c r="GZ136" s="127"/>
      <c r="HA136" s="127"/>
      <c r="HB136" s="127"/>
      <c r="HC136" s="127"/>
      <c r="HD136" s="127"/>
      <c r="HE136" s="127"/>
      <c r="HF136" s="127"/>
      <c r="HG136" s="127"/>
      <c r="HH136" s="127"/>
      <c r="HI136" s="127"/>
      <c r="HJ136" s="127"/>
      <c r="HK136" s="127"/>
      <c r="HL136" s="127"/>
      <c r="HM136" s="127"/>
      <c r="HN136" s="127"/>
      <c r="HO136" s="127"/>
      <c r="HP136" s="127"/>
      <c r="HQ136" s="127"/>
      <c r="HR136" s="127"/>
      <c r="HS136" s="127"/>
      <c r="HT136" s="127"/>
      <c r="HU136" s="127"/>
      <c r="HV136" s="127"/>
      <c r="HW136" s="127"/>
      <c r="HX136" s="127"/>
      <c r="HY136" s="127"/>
      <c r="HZ136" s="127"/>
      <c r="IA136" s="127"/>
      <c r="IB136" s="127"/>
      <c r="IC136" s="127"/>
      <c r="ID136" s="127"/>
      <c r="IE136" s="127"/>
      <c r="IF136" s="127"/>
      <c r="IG136" s="127"/>
      <c r="IH136" s="127"/>
      <c r="II136" s="127"/>
      <c r="IJ136" s="127"/>
      <c r="IK136" s="127"/>
      <c r="IL136" s="127"/>
      <c r="IM136" s="127"/>
      <c r="IN136" s="127"/>
      <c r="IO136" s="127"/>
      <c r="IP136" s="127"/>
      <c r="IQ136" s="127"/>
      <c r="IR136" s="127"/>
      <c r="IS136" s="127"/>
      <c r="IT136" s="127"/>
      <c r="IU136" s="127"/>
      <c r="IV136" s="127"/>
    </row>
    <row r="137" spans="1:256" ht="25.5" x14ac:dyDescent="0.2">
      <c r="A137" s="129"/>
      <c r="B137" s="129"/>
      <c r="C137" s="406" t="s">
        <v>530</v>
      </c>
      <c r="D137" s="421">
        <v>191901</v>
      </c>
      <c r="E137" s="418">
        <f>1264081+[1]táj.1!E137</f>
        <v>1321178</v>
      </c>
      <c r="F137" s="418">
        <f>0+[1]táj.1!F137</f>
        <v>0</v>
      </c>
      <c r="G137" s="418">
        <f>0+[1]táj.1!G137</f>
        <v>0</v>
      </c>
      <c r="H137" s="418">
        <f>0+[1]táj.1!H137</f>
        <v>0</v>
      </c>
      <c r="I137" s="418">
        <f>0+[1]táj.1!I137</f>
        <v>0</v>
      </c>
      <c r="J137" s="418">
        <f>0+[1]táj.1!J137</f>
        <v>0</v>
      </c>
      <c r="K137" s="418">
        <f>0+[1]táj.1!K137</f>
        <v>0</v>
      </c>
      <c r="L137" s="418">
        <f>0+[1]táj.1!L137</f>
        <v>0</v>
      </c>
      <c r="M137" s="418">
        <f>0+[1]táj.1!M137</f>
        <v>0</v>
      </c>
      <c r="N137" s="418">
        <f>0+[1]táj.1!N137</f>
        <v>0</v>
      </c>
      <c r="O137" s="390">
        <f t="shared" si="10"/>
        <v>1321178</v>
      </c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127"/>
      <c r="CG137" s="127"/>
      <c r="CH137" s="127"/>
      <c r="CI137" s="127"/>
      <c r="CJ137" s="127"/>
      <c r="CK137" s="127"/>
      <c r="CL137" s="127"/>
      <c r="CM137" s="127"/>
      <c r="CN137" s="127"/>
      <c r="CO137" s="127"/>
      <c r="CP137" s="127"/>
      <c r="CQ137" s="127"/>
      <c r="CR137" s="127"/>
      <c r="CS137" s="127"/>
      <c r="CT137" s="127"/>
      <c r="CU137" s="127"/>
      <c r="CV137" s="127"/>
      <c r="CW137" s="127"/>
      <c r="CX137" s="127"/>
      <c r="CY137" s="127"/>
      <c r="CZ137" s="127"/>
      <c r="DA137" s="127"/>
      <c r="DB137" s="127"/>
      <c r="DC137" s="127"/>
      <c r="DD137" s="127"/>
      <c r="DE137" s="127"/>
      <c r="DF137" s="127"/>
      <c r="DG137" s="127"/>
      <c r="DH137" s="127"/>
      <c r="DI137" s="127"/>
      <c r="DJ137" s="127"/>
      <c r="DK137" s="127"/>
      <c r="DL137" s="127"/>
      <c r="DM137" s="127"/>
      <c r="DN137" s="127"/>
      <c r="DO137" s="127"/>
      <c r="DP137" s="127"/>
      <c r="DQ137" s="127"/>
      <c r="DR137" s="127"/>
      <c r="DS137" s="127"/>
      <c r="DT137" s="127"/>
      <c r="DU137" s="127"/>
      <c r="DV137" s="127"/>
      <c r="DW137" s="127"/>
      <c r="DX137" s="127"/>
      <c r="DY137" s="127"/>
      <c r="DZ137" s="127"/>
      <c r="EA137" s="127"/>
      <c r="EB137" s="127"/>
      <c r="EC137" s="127"/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27"/>
      <c r="EP137" s="127"/>
      <c r="EQ137" s="127"/>
      <c r="ER137" s="127"/>
      <c r="ES137" s="127"/>
      <c r="ET137" s="127"/>
      <c r="EU137" s="127"/>
      <c r="EV137" s="127"/>
      <c r="EW137" s="127"/>
      <c r="EX137" s="127"/>
      <c r="EY137" s="127"/>
      <c r="EZ137" s="127"/>
      <c r="FA137" s="127"/>
      <c r="FB137" s="127"/>
      <c r="FC137" s="127"/>
      <c r="FD137" s="127"/>
      <c r="FE137" s="127"/>
      <c r="FF137" s="127"/>
      <c r="FG137" s="127"/>
      <c r="FH137" s="127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27"/>
      <c r="FX137" s="127"/>
      <c r="FY137" s="127"/>
      <c r="FZ137" s="127"/>
      <c r="GA137" s="127"/>
      <c r="GB137" s="127"/>
      <c r="GC137" s="127"/>
      <c r="GD137" s="127"/>
      <c r="GE137" s="127"/>
      <c r="GF137" s="127"/>
      <c r="GG137" s="127"/>
      <c r="GH137" s="127"/>
      <c r="GI137" s="127"/>
      <c r="GJ137" s="127"/>
      <c r="GK137" s="127"/>
      <c r="GL137" s="127"/>
      <c r="GM137" s="127"/>
      <c r="GN137" s="127"/>
      <c r="GO137" s="127"/>
      <c r="GP137" s="127"/>
      <c r="GQ137" s="127"/>
      <c r="GR137" s="127"/>
      <c r="GS137" s="127"/>
      <c r="GT137" s="127"/>
      <c r="GU137" s="127"/>
      <c r="GV137" s="127"/>
      <c r="GW137" s="127"/>
      <c r="GX137" s="127"/>
      <c r="GY137" s="127"/>
      <c r="GZ137" s="127"/>
      <c r="HA137" s="127"/>
      <c r="HB137" s="127"/>
      <c r="HC137" s="127"/>
      <c r="HD137" s="127"/>
      <c r="HE137" s="127"/>
      <c r="HF137" s="127"/>
      <c r="HG137" s="127"/>
      <c r="HH137" s="127"/>
      <c r="HI137" s="127"/>
      <c r="HJ137" s="127"/>
      <c r="HK137" s="127"/>
      <c r="HL137" s="127"/>
      <c r="HM137" s="127"/>
      <c r="HN137" s="127"/>
      <c r="HO137" s="127"/>
      <c r="HP137" s="127"/>
      <c r="HQ137" s="127"/>
      <c r="HR137" s="127"/>
      <c r="HS137" s="127"/>
      <c r="HT137" s="127"/>
      <c r="HU137" s="127"/>
      <c r="HV137" s="127"/>
      <c r="HW137" s="127"/>
      <c r="HX137" s="127"/>
      <c r="HY137" s="127"/>
      <c r="HZ137" s="127"/>
      <c r="IA137" s="127"/>
      <c r="IB137" s="127"/>
      <c r="IC137" s="127"/>
      <c r="ID137" s="127"/>
      <c r="IE137" s="127"/>
      <c r="IF137" s="127"/>
      <c r="IG137" s="127"/>
      <c r="IH137" s="127"/>
      <c r="II137" s="127"/>
      <c r="IJ137" s="127"/>
      <c r="IK137" s="127"/>
      <c r="IL137" s="127"/>
      <c r="IM137" s="127"/>
      <c r="IN137" s="127"/>
      <c r="IO137" s="127"/>
      <c r="IP137" s="127"/>
      <c r="IQ137" s="127"/>
      <c r="IR137" s="127"/>
      <c r="IS137" s="127"/>
      <c r="IT137" s="127"/>
      <c r="IU137" s="127"/>
      <c r="IV137" s="127"/>
    </row>
    <row r="138" spans="1:256" ht="25.5" x14ac:dyDescent="0.2">
      <c r="A138" s="129"/>
      <c r="B138" s="129"/>
      <c r="C138" s="406" t="s">
        <v>531</v>
      </c>
      <c r="D138" s="421">
        <v>191901</v>
      </c>
      <c r="E138" s="418">
        <f>447133+[1]táj.1!E138</f>
        <v>475449</v>
      </c>
      <c r="F138" s="418">
        <f>0+[1]táj.1!F138</f>
        <v>0</v>
      </c>
      <c r="G138" s="418">
        <f>0+[1]táj.1!G138</f>
        <v>0</v>
      </c>
      <c r="H138" s="418">
        <f>0+[1]táj.1!H138</f>
        <v>0</v>
      </c>
      <c r="I138" s="418">
        <f>0+[1]táj.1!I138</f>
        <v>0</v>
      </c>
      <c r="J138" s="418">
        <f>0+[1]táj.1!J138</f>
        <v>0</v>
      </c>
      <c r="K138" s="418">
        <f>0+[1]táj.1!K138</f>
        <v>0</v>
      </c>
      <c r="L138" s="418">
        <f>0+[1]táj.1!L138</f>
        <v>0</v>
      </c>
      <c r="M138" s="418">
        <f>0+[1]táj.1!M138</f>
        <v>0</v>
      </c>
      <c r="N138" s="418">
        <f>0+[1]táj.1!N138</f>
        <v>0</v>
      </c>
      <c r="O138" s="390">
        <f t="shared" si="10"/>
        <v>475449</v>
      </c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  <c r="CU138" s="127"/>
      <c r="CV138" s="127"/>
      <c r="CW138" s="127"/>
      <c r="CX138" s="127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  <c r="DV138" s="127"/>
      <c r="DW138" s="127"/>
      <c r="DX138" s="127"/>
      <c r="DY138" s="127"/>
      <c r="DZ138" s="127"/>
      <c r="EA138" s="127"/>
      <c r="EB138" s="127"/>
      <c r="EC138" s="127"/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27"/>
      <c r="EP138" s="127"/>
      <c r="EQ138" s="127"/>
      <c r="ER138" s="127"/>
      <c r="ES138" s="127"/>
      <c r="ET138" s="127"/>
      <c r="EU138" s="127"/>
      <c r="EV138" s="127"/>
      <c r="EW138" s="127"/>
      <c r="EX138" s="127"/>
      <c r="EY138" s="127"/>
      <c r="EZ138" s="127"/>
      <c r="FA138" s="127"/>
      <c r="FB138" s="127"/>
      <c r="FC138" s="127"/>
      <c r="FD138" s="127"/>
      <c r="FE138" s="127"/>
      <c r="FF138" s="127"/>
      <c r="FG138" s="127"/>
      <c r="FH138" s="127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27"/>
      <c r="FX138" s="127"/>
      <c r="FY138" s="127"/>
      <c r="FZ138" s="127"/>
      <c r="GA138" s="127"/>
      <c r="GB138" s="127"/>
      <c r="GC138" s="127"/>
      <c r="GD138" s="127"/>
      <c r="GE138" s="127"/>
      <c r="GF138" s="127"/>
      <c r="GG138" s="127"/>
      <c r="GH138" s="127"/>
      <c r="GI138" s="127"/>
      <c r="GJ138" s="127"/>
      <c r="GK138" s="127"/>
      <c r="GL138" s="127"/>
      <c r="GM138" s="127"/>
      <c r="GN138" s="127"/>
      <c r="GO138" s="127"/>
      <c r="GP138" s="127"/>
      <c r="GQ138" s="127"/>
      <c r="GR138" s="127"/>
      <c r="GS138" s="127"/>
      <c r="GT138" s="127"/>
      <c r="GU138" s="127"/>
      <c r="GV138" s="127"/>
      <c r="GW138" s="127"/>
      <c r="GX138" s="127"/>
      <c r="GY138" s="127"/>
      <c r="GZ138" s="127"/>
      <c r="HA138" s="127"/>
      <c r="HB138" s="127"/>
      <c r="HC138" s="127"/>
      <c r="HD138" s="127"/>
      <c r="HE138" s="127"/>
      <c r="HF138" s="127"/>
      <c r="HG138" s="127"/>
      <c r="HH138" s="127"/>
      <c r="HI138" s="127"/>
      <c r="HJ138" s="127"/>
      <c r="HK138" s="127"/>
      <c r="HL138" s="127"/>
      <c r="HM138" s="127"/>
      <c r="HN138" s="127"/>
      <c r="HO138" s="127"/>
      <c r="HP138" s="127"/>
      <c r="HQ138" s="127"/>
      <c r="HR138" s="127"/>
      <c r="HS138" s="127"/>
      <c r="HT138" s="127"/>
      <c r="HU138" s="127"/>
      <c r="HV138" s="127"/>
      <c r="HW138" s="127"/>
      <c r="HX138" s="127"/>
      <c r="HY138" s="127"/>
      <c r="HZ138" s="127"/>
      <c r="IA138" s="127"/>
      <c r="IB138" s="127"/>
      <c r="IC138" s="127"/>
      <c r="ID138" s="127"/>
      <c r="IE138" s="127"/>
      <c r="IF138" s="127"/>
      <c r="IG138" s="127"/>
      <c r="IH138" s="127"/>
      <c r="II138" s="127"/>
      <c r="IJ138" s="127"/>
      <c r="IK138" s="127"/>
      <c r="IL138" s="127"/>
      <c r="IM138" s="127"/>
      <c r="IN138" s="127"/>
      <c r="IO138" s="127"/>
      <c r="IP138" s="127"/>
      <c r="IQ138" s="127"/>
      <c r="IR138" s="127"/>
      <c r="IS138" s="127"/>
      <c r="IT138" s="127"/>
      <c r="IU138" s="127"/>
      <c r="IV138" s="127"/>
    </row>
    <row r="139" spans="1:256" x14ac:dyDescent="0.2">
      <c r="A139" s="129"/>
      <c r="B139" s="129"/>
      <c r="C139" s="406" t="s">
        <v>1421</v>
      </c>
      <c r="D139" s="421">
        <v>191901</v>
      </c>
      <c r="E139" s="418">
        <f>270400+[1]táj.1!E139</f>
        <v>353500</v>
      </c>
      <c r="F139" s="418">
        <f>0+[1]táj.1!F139</f>
        <v>0</v>
      </c>
      <c r="G139" s="418">
        <f>0+[1]táj.1!G139</f>
        <v>0</v>
      </c>
      <c r="H139" s="418">
        <f>0+[1]táj.1!H139</f>
        <v>0</v>
      </c>
      <c r="I139" s="418">
        <f>0+[1]táj.1!I139</f>
        <v>0</v>
      </c>
      <c r="J139" s="418">
        <f>0+[1]táj.1!J139</f>
        <v>0</v>
      </c>
      <c r="K139" s="418">
        <f>0+[1]táj.1!K139</f>
        <v>0</v>
      </c>
      <c r="L139" s="418">
        <f>0+[1]táj.1!L139</f>
        <v>0</v>
      </c>
      <c r="M139" s="418">
        <f>0+[1]táj.1!M139</f>
        <v>0</v>
      </c>
      <c r="N139" s="418">
        <f>0+[1]táj.1!N139</f>
        <v>0</v>
      </c>
      <c r="O139" s="390">
        <f t="shared" si="10"/>
        <v>353500</v>
      </c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  <c r="CU139" s="127"/>
      <c r="CV139" s="127"/>
      <c r="CW139" s="127"/>
      <c r="CX139" s="127"/>
      <c r="CY139" s="127"/>
      <c r="CZ139" s="127"/>
      <c r="DA139" s="127"/>
      <c r="DB139" s="127"/>
      <c r="DC139" s="127"/>
      <c r="DD139" s="127"/>
      <c r="DE139" s="127"/>
      <c r="DF139" s="127"/>
      <c r="DG139" s="127"/>
      <c r="DH139" s="127"/>
      <c r="DI139" s="127"/>
      <c r="DJ139" s="127"/>
      <c r="DK139" s="127"/>
      <c r="DL139" s="127"/>
      <c r="DM139" s="127"/>
      <c r="DN139" s="127"/>
      <c r="DO139" s="127"/>
      <c r="DP139" s="127"/>
      <c r="DQ139" s="127"/>
      <c r="DR139" s="127"/>
      <c r="DS139" s="127"/>
      <c r="DT139" s="127"/>
      <c r="DU139" s="127"/>
      <c r="DV139" s="127"/>
      <c r="DW139" s="127"/>
      <c r="DX139" s="127"/>
      <c r="DY139" s="127"/>
      <c r="DZ139" s="127"/>
      <c r="EA139" s="127"/>
      <c r="EB139" s="127"/>
      <c r="EC139" s="127"/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27"/>
      <c r="EP139" s="127"/>
      <c r="EQ139" s="127"/>
      <c r="ER139" s="127"/>
      <c r="ES139" s="127"/>
      <c r="ET139" s="127"/>
      <c r="EU139" s="127"/>
      <c r="EV139" s="127"/>
      <c r="EW139" s="127"/>
      <c r="EX139" s="127"/>
      <c r="EY139" s="127"/>
      <c r="EZ139" s="127"/>
      <c r="FA139" s="127"/>
      <c r="FB139" s="127"/>
      <c r="FC139" s="127"/>
      <c r="FD139" s="127"/>
      <c r="FE139" s="127"/>
      <c r="FF139" s="127"/>
      <c r="FG139" s="127"/>
      <c r="FH139" s="127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27"/>
      <c r="FX139" s="127"/>
      <c r="FY139" s="127"/>
      <c r="FZ139" s="127"/>
      <c r="GA139" s="127"/>
      <c r="GB139" s="127"/>
      <c r="GC139" s="127"/>
      <c r="GD139" s="127"/>
      <c r="GE139" s="127"/>
      <c r="GF139" s="127"/>
      <c r="GG139" s="127"/>
      <c r="GH139" s="127"/>
      <c r="GI139" s="127"/>
      <c r="GJ139" s="127"/>
      <c r="GK139" s="127"/>
      <c r="GL139" s="127"/>
      <c r="GM139" s="127"/>
      <c r="GN139" s="127"/>
      <c r="GO139" s="127"/>
      <c r="GP139" s="127"/>
      <c r="GQ139" s="127"/>
      <c r="GR139" s="127"/>
      <c r="GS139" s="127"/>
      <c r="GT139" s="127"/>
      <c r="GU139" s="127"/>
      <c r="GV139" s="127"/>
      <c r="GW139" s="127"/>
      <c r="GX139" s="127"/>
      <c r="GY139" s="127"/>
      <c r="GZ139" s="127"/>
      <c r="HA139" s="127"/>
      <c r="HB139" s="127"/>
      <c r="HC139" s="127"/>
      <c r="HD139" s="127"/>
      <c r="HE139" s="127"/>
      <c r="HF139" s="127"/>
      <c r="HG139" s="127"/>
      <c r="HH139" s="127"/>
      <c r="HI139" s="127"/>
      <c r="HJ139" s="127"/>
      <c r="HK139" s="127"/>
      <c r="HL139" s="127"/>
      <c r="HM139" s="127"/>
      <c r="HN139" s="127"/>
      <c r="HO139" s="127"/>
      <c r="HP139" s="127"/>
      <c r="HQ139" s="127"/>
      <c r="HR139" s="127"/>
      <c r="HS139" s="127"/>
      <c r="HT139" s="127"/>
      <c r="HU139" s="127"/>
      <c r="HV139" s="127"/>
      <c r="HW139" s="127"/>
      <c r="HX139" s="127"/>
      <c r="HY139" s="127"/>
      <c r="HZ139" s="127"/>
      <c r="IA139" s="127"/>
      <c r="IB139" s="127"/>
      <c r="IC139" s="127"/>
      <c r="ID139" s="127"/>
      <c r="IE139" s="127"/>
      <c r="IF139" s="127"/>
      <c r="IG139" s="127"/>
      <c r="IH139" s="127"/>
      <c r="II139" s="127"/>
      <c r="IJ139" s="127"/>
      <c r="IK139" s="127"/>
      <c r="IL139" s="127"/>
      <c r="IM139" s="127"/>
      <c r="IN139" s="127"/>
      <c r="IO139" s="127"/>
      <c r="IP139" s="127"/>
      <c r="IQ139" s="127"/>
      <c r="IR139" s="127"/>
      <c r="IS139" s="127"/>
      <c r="IT139" s="127"/>
      <c r="IU139" s="127"/>
      <c r="IV139" s="127"/>
    </row>
    <row r="140" spans="1:256" x14ac:dyDescent="0.2">
      <c r="A140" s="129"/>
      <c r="B140" s="129"/>
      <c r="C140" s="406" t="s">
        <v>1498</v>
      </c>
      <c r="D140" s="421">
        <v>191901</v>
      </c>
      <c r="E140" s="418">
        <f>0+[1]táj.1!E140</f>
        <v>12679</v>
      </c>
      <c r="F140" s="418">
        <f>0+[1]táj.1!F140</f>
        <v>0</v>
      </c>
      <c r="G140" s="418">
        <f>0+[1]táj.1!G140</f>
        <v>0</v>
      </c>
      <c r="H140" s="418">
        <f>0+[1]táj.1!H140</f>
        <v>0</v>
      </c>
      <c r="I140" s="418">
        <f>0+[1]táj.1!I140</f>
        <v>0</v>
      </c>
      <c r="J140" s="418">
        <f>0+[1]táj.1!J140</f>
        <v>0</v>
      </c>
      <c r="K140" s="418">
        <f>0+[1]táj.1!K140</f>
        <v>0</v>
      </c>
      <c r="L140" s="418">
        <f>0+[1]táj.1!L140</f>
        <v>0</v>
      </c>
      <c r="M140" s="418">
        <f>0+[1]táj.1!M140</f>
        <v>0</v>
      </c>
      <c r="N140" s="418">
        <f>0+[1]táj.1!N140</f>
        <v>0</v>
      </c>
      <c r="O140" s="390">
        <f t="shared" si="10"/>
        <v>12679</v>
      </c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127"/>
      <c r="FF140" s="127"/>
      <c r="FG140" s="127"/>
      <c r="FH140" s="127"/>
      <c r="FI140" s="127"/>
      <c r="FJ140" s="127"/>
      <c r="FK140" s="127"/>
      <c r="FL140" s="127"/>
      <c r="FM140" s="127"/>
      <c r="FN140" s="127"/>
      <c r="FO140" s="127"/>
      <c r="FP140" s="127"/>
      <c r="FQ140" s="127"/>
      <c r="FR140" s="127"/>
      <c r="FS140" s="127"/>
      <c r="FT140" s="127"/>
      <c r="FU140" s="127"/>
      <c r="FV140" s="127"/>
      <c r="FW140" s="127"/>
      <c r="FX140" s="127"/>
      <c r="FY140" s="127"/>
      <c r="FZ140" s="127"/>
      <c r="GA140" s="127"/>
      <c r="GB140" s="127"/>
      <c r="GC140" s="127"/>
      <c r="GD140" s="127"/>
      <c r="GE140" s="127"/>
      <c r="GF140" s="127"/>
      <c r="GG140" s="127"/>
      <c r="GH140" s="127"/>
      <c r="GI140" s="127"/>
      <c r="GJ140" s="127"/>
      <c r="GK140" s="127"/>
      <c r="GL140" s="127"/>
      <c r="GM140" s="127"/>
      <c r="GN140" s="127"/>
      <c r="GO140" s="127"/>
      <c r="GP140" s="127"/>
      <c r="GQ140" s="127"/>
      <c r="GR140" s="127"/>
      <c r="GS140" s="127"/>
      <c r="GT140" s="127"/>
      <c r="GU140" s="127"/>
      <c r="GV140" s="127"/>
      <c r="GW140" s="127"/>
      <c r="GX140" s="127"/>
      <c r="GY140" s="127"/>
      <c r="GZ140" s="127"/>
      <c r="HA140" s="127"/>
      <c r="HB140" s="127"/>
      <c r="HC140" s="127"/>
      <c r="HD140" s="127"/>
      <c r="HE140" s="127"/>
      <c r="HF140" s="127"/>
      <c r="HG140" s="127"/>
      <c r="HH140" s="127"/>
      <c r="HI140" s="127"/>
      <c r="HJ140" s="127"/>
      <c r="HK140" s="127"/>
      <c r="HL140" s="127"/>
      <c r="HM140" s="127"/>
      <c r="HN140" s="127"/>
      <c r="HO140" s="127"/>
      <c r="HP140" s="127"/>
      <c r="HQ140" s="127"/>
      <c r="HR140" s="127"/>
      <c r="HS140" s="127"/>
      <c r="HT140" s="127"/>
      <c r="HU140" s="127"/>
      <c r="HV140" s="127"/>
      <c r="HW140" s="127"/>
      <c r="HX140" s="127"/>
      <c r="HY140" s="127"/>
      <c r="HZ140" s="127"/>
      <c r="IA140" s="127"/>
      <c r="IB140" s="127"/>
      <c r="IC140" s="127"/>
      <c r="ID140" s="127"/>
      <c r="IE140" s="127"/>
      <c r="IF140" s="127"/>
      <c r="IG140" s="127"/>
      <c r="IH140" s="127"/>
      <c r="II140" s="127"/>
      <c r="IJ140" s="127"/>
      <c r="IK140" s="127"/>
      <c r="IL140" s="127"/>
      <c r="IM140" s="127"/>
      <c r="IN140" s="127"/>
      <c r="IO140" s="127"/>
      <c r="IP140" s="127"/>
      <c r="IQ140" s="127"/>
      <c r="IR140" s="127"/>
      <c r="IS140" s="127"/>
      <c r="IT140" s="127"/>
      <c r="IU140" s="127"/>
      <c r="IV140" s="127"/>
    </row>
    <row r="141" spans="1:256" x14ac:dyDescent="0.2">
      <c r="A141" s="129"/>
      <c r="B141" s="129"/>
      <c r="C141" s="406" t="s">
        <v>532</v>
      </c>
      <c r="D141" s="421">
        <v>191901</v>
      </c>
      <c r="E141" s="418">
        <f>0+[1]táj.1!E141</f>
        <v>0</v>
      </c>
      <c r="F141" s="418">
        <f>0+[1]táj.1!F141</f>
        <v>0</v>
      </c>
      <c r="G141" s="418">
        <f>0+[1]táj.1!G141</f>
        <v>0</v>
      </c>
      <c r="H141" s="418">
        <f>0+[1]táj.1!H141</f>
        <v>0</v>
      </c>
      <c r="I141" s="418">
        <f>0+[1]táj.1!I141</f>
        <v>0</v>
      </c>
      <c r="J141" s="418">
        <f>0+[1]táj.1!J141</f>
        <v>0</v>
      </c>
      <c r="K141" s="418">
        <f>0+[1]táj.1!K141</f>
        <v>0</v>
      </c>
      <c r="L141" s="418">
        <f>0+[1]táj.1!L141</f>
        <v>0</v>
      </c>
      <c r="M141" s="418">
        <f>0+[1]táj.1!M141</f>
        <v>0</v>
      </c>
      <c r="N141" s="418">
        <f>0+[1]táj.1!N141</f>
        <v>0</v>
      </c>
      <c r="O141" s="390">
        <f t="shared" si="10"/>
        <v>0</v>
      </c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  <c r="CU141" s="127"/>
      <c r="CV141" s="127"/>
      <c r="CW141" s="127"/>
      <c r="CX141" s="127"/>
      <c r="CY141" s="127"/>
      <c r="CZ141" s="127"/>
      <c r="DA141" s="127"/>
      <c r="DB141" s="127"/>
      <c r="DC141" s="127"/>
      <c r="DD141" s="127"/>
      <c r="DE141" s="127"/>
      <c r="DF141" s="127"/>
      <c r="DG141" s="127"/>
      <c r="DH141" s="127"/>
      <c r="DI141" s="127"/>
      <c r="DJ141" s="127"/>
      <c r="DK141" s="127"/>
      <c r="DL141" s="127"/>
      <c r="DM141" s="127"/>
      <c r="DN141" s="127"/>
      <c r="DO141" s="127"/>
      <c r="DP141" s="127"/>
      <c r="DQ141" s="127"/>
      <c r="DR141" s="127"/>
      <c r="DS141" s="127"/>
      <c r="DT141" s="127"/>
      <c r="DU141" s="127"/>
      <c r="DV141" s="127"/>
      <c r="DW141" s="127"/>
      <c r="DX141" s="127"/>
      <c r="DY141" s="127"/>
      <c r="DZ141" s="127"/>
      <c r="EA141" s="127"/>
      <c r="EB141" s="127"/>
      <c r="EC141" s="127"/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27"/>
      <c r="EP141" s="127"/>
      <c r="EQ141" s="127"/>
      <c r="ER141" s="127"/>
      <c r="ES141" s="127"/>
      <c r="ET141" s="127"/>
      <c r="EU141" s="127"/>
      <c r="EV141" s="127"/>
      <c r="EW141" s="127"/>
      <c r="EX141" s="127"/>
      <c r="EY141" s="127"/>
      <c r="EZ141" s="127"/>
      <c r="FA141" s="127"/>
      <c r="FB141" s="127"/>
      <c r="FC141" s="127"/>
      <c r="FD141" s="127"/>
      <c r="FE141" s="127"/>
      <c r="FF141" s="127"/>
      <c r="FG141" s="127"/>
      <c r="FH141" s="127"/>
      <c r="FI141" s="127"/>
      <c r="FJ141" s="127"/>
      <c r="FK141" s="127"/>
      <c r="FL141" s="127"/>
      <c r="FM141" s="127"/>
      <c r="FN141" s="127"/>
      <c r="FO141" s="127"/>
      <c r="FP141" s="127"/>
      <c r="FQ141" s="127"/>
      <c r="FR141" s="127"/>
      <c r="FS141" s="127"/>
      <c r="FT141" s="127"/>
      <c r="FU141" s="127"/>
      <c r="FV141" s="127"/>
      <c r="FW141" s="127"/>
      <c r="FX141" s="127"/>
      <c r="FY141" s="127"/>
      <c r="FZ141" s="127"/>
      <c r="GA141" s="127"/>
      <c r="GB141" s="127"/>
      <c r="GC141" s="127"/>
      <c r="GD141" s="127"/>
      <c r="GE141" s="127"/>
      <c r="GF141" s="127"/>
      <c r="GG141" s="127"/>
      <c r="GH141" s="127"/>
      <c r="GI141" s="127"/>
      <c r="GJ141" s="127"/>
      <c r="GK141" s="127"/>
      <c r="GL141" s="127"/>
      <c r="GM141" s="127"/>
      <c r="GN141" s="127"/>
      <c r="GO141" s="127"/>
      <c r="GP141" s="127"/>
      <c r="GQ141" s="127"/>
      <c r="GR141" s="127"/>
      <c r="GS141" s="127"/>
      <c r="GT141" s="127"/>
      <c r="GU141" s="127"/>
      <c r="GV141" s="127"/>
      <c r="GW141" s="127"/>
      <c r="GX141" s="127"/>
      <c r="GY141" s="127"/>
      <c r="GZ141" s="127"/>
      <c r="HA141" s="127"/>
      <c r="HB141" s="127"/>
      <c r="HC141" s="127"/>
      <c r="HD141" s="127"/>
      <c r="HE141" s="127"/>
      <c r="HF141" s="127"/>
      <c r="HG141" s="127"/>
      <c r="HH141" s="127"/>
      <c r="HI141" s="127"/>
      <c r="HJ141" s="127"/>
      <c r="HK141" s="127"/>
      <c r="HL141" s="127"/>
      <c r="HM141" s="127"/>
      <c r="HN141" s="127"/>
      <c r="HO141" s="127"/>
      <c r="HP141" s="127"/>
      <c r="HQ141" s="127"/>
      <c r="HR141" s="127"/>
      <c r="HS141" s="127"/>
      <c r="HT141" s="127"/>
      <c r="HU141" s="127"/>
      <c r="HV141" s="127"/>
      <c r="HW141" s="127"/>
      <c r="HX141" s="127"/>
      <c r="HY141" s="127"/>
      <c r="HZ141" s="127"/>
      <c r="IA141" s="127"/>
      <c r="IB141" s="127"/>
      <c r="IC141" s="127"/>
      <c r="ID141" s="127"/>
      <c r="IE141" s="127"/>
      <c r="IF141" s="127"/>
      <c r="IG141" s="127"/>
      <c r="IH141" s="127"/>
      <c r="II141" s="127"/>
      <c r="IJ141" s="127"/>
      <c r="IK141" s="127"/>
      <c r="IL141" s="127"/>
      <c r="IM141" s="127"/>
      <c r="IN141" s="127"/>
      <c r="IO141" s="127"/>
      <c r="IP141" s="127"/>
      <c r="IQ141" s="127"/>
      <c r="IR141" s="127"/>
      <c r="IS141" s="127"/>
      <c r="IT141" s="127"/>
      <c r="IU141" s="127"/>
      <c r="IV141" s="127"/>
    </row>
    <row r="142" spans="1:256" ht="25.5" x14ac:dyDescent="0.2">
      <c r="A142" s="129"/>
      <c r="B142" s="129"/>
      <c r="C142" s="141" t="s">
        <v>58</v>
      </c>
      <c r="D142" s="638">
        <v>191901</v>
      </c>
      <c r="E142" s="418">
        <f>52762+[1]táj.1!E142</f>
        <v>0</v>
      </c>
      <c r="F142" s="418">
        <f>0+[1]táj.1!F142</f>
        <v>0</v>
      </c>
      <c r="G142" s="418">
        <f>0+[1]táj.1!G142</f>
        <v>0</v>
      </c>
      <c r="H142" s="418">
        <f>0+[1]táj.1!H142</f>
        <v>0</v>
      </c>
      <c r="I142" s="418">
        <f>0+[1]táj.1!I142</f>
        <v>0</v>
      </c>
      <c r="J142" s="418">
        <f>0+[1]táj.1!J142</f>
        <v>0</v>
      </c>
      <c r="K142" s="418">
        <f>0+[1]táj.1!K142</f>
        <v>0</v>
      </c>
      <c r="L142" s="418">
        <f>0+[1]táj.1!L142</f>
        <v>0</v>
      </c>
      <c r="M142" s="418">
        <f>0+[1]táj.1!M142</f>
        <v>0</v>
      </c>
      <c r="N142" s="418">
        <f>0+[1]táj.1!N142</f>
        <v>0</v>
      </c>
      <c r="O142" s="390">
        <f t="shared" si="10"/>
        <v>0</v>
      </c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  <c r="DC142" s="127"/>
      <c r="DD142" s="127"/>
      <c r="DE142" s="127"/>
      <c r="DF142" s="127"/>
      <c r="DG142" s="127"/>
      <c r="DH142" s="127"/>
      <c r="DI142" s="127"/>
      <c r="DJ142" s="127"/>
      <c r="DK142" s="127"/>
      <c r="DL142" s="127"/>
      <c r="DM142" s="127"/>
      <c r="DN142" s="127"/>
      <c r="DO142" s="127"/>
      <c r="DP142" s="127"/>
      <c r="DQ142" s="127"/>
      <c r="DR142" s="127"/>
      <c r="DS142" s="127"/>
      <c r="DT142" s="127"/>
      <c r="DU142" s="127"/>
      <c r="DV142" s="127"/>
      <c r="DW142" s="127"/>
      <c r="DX142" s="127"/>
      <c r="DY142" s="127"/>
      <c r="DZ142" s="127"/>
      <c r="EA142" s="127"/>
      <c r="EB142" s="127"/>
      <c r="EC142" s="127"/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27"/>
      <c r="EP142" s="127"/>
      <c r="EQ142" s="127"/>
      <c r="ER142" s="127"/>
      <c r="ES142" s="127"/>
      <c r="ET142" s="127"/>
      <c r="EU142" s="127"/>
      <c r="EV142" s="127"/>
      <c r="EW142" s="127"/>
      <c r="EX142" s="127"/>
      <c r="EY142" s="127"/>
      <c r="EZ142" s="127"/>
      <c r="FA142" s="127"/>
      <c r="FB142" s="127"/>
      <c r="FC142" s="127"/>
      <c r="FD142" s="127"/>
      <c r="FE142" s="127"/>
      <c r="FF142" s="127"/>
      <c r="FG142" s="127"/>
      <c r="FH142" s="127"/>
      <c r="FI142" s="127"/>
      <c r="FJ142" s="127"/>
      <c r="FK142" s="127"/>
      <c r="FL142" s="127"/>
      <c r="FM142" s="127"/>
      <c r="FN142" s="127"/>
      <c r="FO142" s="127"/>
      <c r="FP142" s="127"/>
      <c r="FQ142" s="127"/>
      <c r="FR142" s="127"/>
      <c r="FS142" s="127"/>
      <c r="FT142" s="127"/>
      <c r="FU142" s="127"/>
      <c r="FV142" s="127"/>
      <c r="FW142" s="127"/>
      <c r="FX142" s="127"/>
      <c r="FY142" s="127"/>
      <c r="FZ142" s="127"/>
      <c r="GA142" s="127"/>
      <c r="GB142" s="127"/>
      <c r="GC142" s="127"/>
      <c r="GD142" s="127"/>
      <c r="GE142" s="127"/>
      <c r="GF142" s="127"/>
      <c r="GG142" s="127"/>
      <c r="GH142" s="127"/>
      <c r="GI142" s="127"/>
      <c r="GJ142" s="127"/>
      <c r="GK142" s="127"/>
      <c r="GL142" s="127"/>
      <c r="GM142" s="127"/>
      <c r="GN142" s="127"/>
      <c r="GO142" s="127"/>
      <c r="GP142" s="127"/>
      <c r="GQ142" s="127"/>
      <c r="GR142" s="127"/>
      <c r="GS142" s="127"/>
      <c r="GT142" s="127"/>
      <c r="GU142" s="127"/>
      <c r="GV142" s="127"/>
      <c r="GW142" s="127"/>
      <c r="GX142" s="127"/>
      <c r="GY142" s="127"/>
      <c r="GZ142" s="127"/>
      <c r="HA142" s="127"/>
      <c r="HB142" s="127"/>
      <c r="HC142" s="127"/>
      <c r="HD142" s="127"/>
      <c r="HE142" s="127"/>
      <c r="HF142" s="127"/>
      <c r="HG142" s="127"/>
      <c r="HH142" s="127"/>
      <c r="HI142" s="127"/>
      <c r="HJ142" s="127"/>
      <c r="HK142" s="127"/>
      <c r="HL142" s="127"/>
      <c r="HM142" s="127"/>
      <c r="HN142" s="127"/>
      <c r="HO142" s="127"/>
      <c r="HP142" s="127"/>
      <c r="HQ142" s="127"/>
      <c r="HR142" s="127"/>
      <c r="HS142" s="127"/>
      <c r="HT142" s="127"/>
      <c r="HU142" s="127"/>
      <c r="HV142" s="127"/>
      <c r="HW142" s="127"/>
      <c r="HX142" s="127"/>
      <c r="HY142" s="127"/>
      <c r="HZ142" s="127"/>
      <c r="IA142" s="127"/>
      <c r="IB142" s="127"/>
      <c r="IC142" s="127"/>
      <c r="ID142" s="127"/>
      <c r="IE142" s="127"/>
      <c r="IF142" s="127"/>
      <c r="IG142" s="127"/>
      <c r="IH142" s="127"/>
      <c r="II142" s="127"/>
      <c r="IJ142" s="127"/>
      <c r="IK142" s="127"/>
      <c r="IL142" s="127"/>
      <c r="IM142" s="127"/>
      <c r="IN142" s="127"/>
      <c r="IO142" s="127"/>
      <c r="IP142" s="127"/>
      <c r="IQ142" s="127"/>
      <c r="IR142" s="127"/>
      <c r="IS142" s="127"/>
      <c r="IT142" s="127"/>
      <c r="IU142" s="127"/>
      <c r="IV142" s="127"/>
    </row>
    <row r="143" spans="1:256" ht="25.5" x14ac:dyDescent="0.2">
      <c r="A143" s="129"/>
      <c r="B143" s="129"/>
      <c r="C143" s="141" t="s">
        <v>59</v>
      </c>
      <c r="D143" s="638">
        <v>191901</v>
      </c>
      <c r="E143" s="418">
        <f>0+[1]táj.1!E143</f>
        <v>0</v>
      </c>
      <c r="F143" s="418">
        <f>2140+[1]táj.1!F143</f>
        <v>18531</v>
      </c>
      <c r="G143" s="418">
        <f>0+[1]táj.1!G143</f>
        <v>0</v>
      </c>
      <c r="H143" s="418">
        <f>0+[1]táj.1!H143</f>
        <v>0</v>
      </c>
      <c r="I143" s="418">
        <f>0+[1]táj.1!I143</f>
        <v>0</v>
      </c>
      <c r="J143" s="418">
        <f>0+[1]táj.1!J143</f>
        <v>0</v>
      </c>
      <c r="K143" s="418">
        <f>0+[1]táj.1!K143</f>
        <v>0</v>
      </c>
      <c r="L143" s="418">
        <f>0+[1]táj.1!L143</f>
        <v>0</v>
      </c>
      <c r="M143" s="418">
        <f>0+[1]táj.1!M143</f>
        <v>0</v>
      </c>
      <c r="N143" s="418">
        <f>0+[1]táj.1!N143</f>
        <v>0</v>
      </c>
      <c r="O143" s="390">
        <f t="shared" si="10"/>
        <v>18531</v>
      </c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  <c r="CU143" s="127"/>
      <c r="CV143" s="127"/>
      <c r="CW143" s="127"/>
      <c r="CX143" s="127"/>
      <c r="CY143" s="127"/>
      <c r="CZ143" s="127"/>
      <c r="DA143" s="127"/>
      <c r="DB143" s="127"/>
      <c r="DC143" s="127"/>
      <c r="DD143" s="127"/>
      <c r="DE143" s="127"/>
      <c r="DF143" s="127"/>
      <c r="DG143" s="127"/>
      <c r="DH143" s="127"/>
      <c r="DI143" s="127"/>
      <c r="DJ143" s="127"/>
      <c r="DK143" s="127"/>
      <c r="DL143" s="127"/>
      <c r="DM143" s="127"/>
      <c r="DN143" s="127"/>
      <c r="DO143" s="127"/>
      <c r="DP143" s="127"/>
      <c r="DQ143" s="127"/>
      <c r="DR143" s="127"/>
      <c r="DS143" s="127"/>
      <c r="DT143" s="127"/>
      <c r="DU143" s="127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27"/>
      <c r="EP143" s="127"/>
      <c r="EQ143" s="127"/>
      <c r="ER143" s="127"/>
      <c r="ES143" s="127"/>
      <c r="ET143" s="127"/>
      <c r="EU143" s="127"/>
      <c r="EV143" s="127"/>
      <c r="EW143" s="127"/>
      <c r="EX143" s="127"/>
      <c r="EY143" s="127"/>
      <c r="EZ143" s="127"/>
      <c r="FA143" s="127"/>
      <c r="FB143" s="127"/>
      <c r="FC143" s="127"/>
      <c r="FD143" s="127"/>
      <c r="FE143" s="127"/>
      <c r="FF143" s="127"/>
      <c r="FG143" s="127"/>
      <c r="FH143" s="127"/>
      <c r="FI143" s="127"/>
      <c r="FJ143" s="127"/>
      <c r="FK143" s="127"/>
      <c r="FL143" s="127"/>
      <c r="FM143" s="127"/>
      <c r="FN143" s="127"/>
      <c r="FO143" s="127"/>
      <c r="FP143" s="127"/>
      <c r="FQ143" s="127"/>
      <c r="FR143" s="127"/>
      <c r="FS143" s="127"/>
      <c r="FT143" s="127"/>
      <c r="FU143" s="127"/>
      <c r="FV143" s="127"/>
      <c r="FW143" s="127"/>
      <c r="FX143" s="127"/>
      <c r="FY143" s="127"/>
      <c r="FZ143" s="127"/>
      <c r="GA143" s="127"/>
      <c r="GB143" s="127"/>
      <c r="GC143" s="127"/>
      <c r="GD143" s="127"/>
      <c r="GE143" s="127"/>
      <c r="GF143" s="127"/>
      <c r="GG143" s="127"/>
      <c r="GH143" s="127"/>
      <c r="GI143" s="127"/>
      <c r="GJ143" s="127"/>
      <c r="GK143" s="127"/>
      <c r="GL143" s="127"/>
      <c r="GM143" s="127"/>
      <c r="GN143" s="127"/>
      <c r="GO143" s="127"/>
      <c r="GP143" s="127"/>
      <c r="GQ143" s="127"/>
      <c r="GR143" s="127"/>
      <c r="GS143" s="127"/>
      <c r="GT143" s="127"/>
      <c r="GU143" s="127"/>
      <c r="GV143" s="127"/>
      <c r="GW143" s="127"/>
      <c r="GX143" s="127"/>
      <c r="GY143" s="127"/>
      <c r="GZ143" s="127"/>
      <c r="HA143" s="127"/>
      <c r="HB143" s="127"/>
      <c r="HC143" s="127"/>
      <c r="HD143" s="127"/>
      <c r="HE143" s="127"/>
      <c r="HF143" s="127"/>
      <c r="HG143" s="127"/>
      <c r="HH143" s="127"/>
      <c r="HI143" s="127"/>
      <c r="HJ143" s="127"/>
      <c r="HK143" s="127"/>
      <c r="HL143" s="127"/>
      <c r="HM143" s="127"/>
      <c r="HN143" s="127"/>
      <c r="HO143" s="127"/>
      <c r="HP143" s="127"/>
      <c r="HQ143" s="127"/>
      <c r="HR143" s="127"/>
      <c r="HS143" s="127"/>
      <c r="HT143" s="127"/>
      <c r="HU143" s="127"/>
      <c r="HV143" s="127"/>
      <c r="HW143" s="127"/>
      <c r="HX143" s="127"/>
      <c r="HY143" s="127"/>
      <c r="HZ143" s="127"/>
      <c r="IA143" s="127"/>
      <c r="IB143" s="127"/>
      <c r="IC143" s="127"/>
      <c r="ID143" s="127"/>
      <c r="IE143" s="127"/>
      <c r="IF143" s="127"/>
      <c r="IG143" s="127"/>
      <c r="IH143" s="127"/>
      <c r="II143" s="127"/>
      <c r="IJ143" s="127"/>
      <c r="IK143" s="127"/>
      <c r="IL143" s="127"/>
      <c r="IM143" s="127"/>
      <c r="IN143" s="127"/>
      <c r="IO143" s="127"/>
      <c r="IP143" s="127"/>
      <c r="IQ143" s="127"/>
      <c r="IR143" s="127"/>
      <c r="IS143" s="127"/>
      <c r="IT143" s="127"/>
      <c r="IU143" s="127"/>
      <c r="IV143" s="127"/>
    </row>
    <row r="144" spans="1:256" x14ac:dyDescent="0.2">
      <c r="A144" s="129"/>
      <c r="B144" s="129"/>
      <c r="C144" s="141" t="s">
        <v>60</v>
      </c>
      <c r="D144" s="638">
        <v>191901</v>
      </c>
      <c r="E144" s="418">
        <f>0+[1]táj.1!E144</f>
        <v>0</v>
      </c>
      <c r="F144" s="418">
        <f>0+[1]táj.1!F144</f>
        <v>0</v>
      </c>
      <c r="G144" s="418">
        <f>0+[1]táj.1!G144</f>
        <v>0</v>
      </c>
      <c r="H144" s="418">
        <f>0+[1]táj.1!H144</f>
        <v>0</v>
      </c>
      <c r="I144" s="418">
        <f>0+[1]táj.1!I144</f>
        <v>0</v>
      </c>
      <c r="J144" s="418">
        <f>0+[1]táj.1!J144</f>
        <v>0</v>
      </c>
      <c r="K144" s="418">
        <f>0+[1]táj.1!K144</f>
        <v>0</v>
      </c>
      <c r="L144" s="418">
        <f>0+[1]táj.1!L144</f>
        <v>0</v>
      </c>
      <c r="M144" s="418">
        <f>0+[1]táj.1!M144</f>
        <v>0</v>
      </c>
      <c r="N144" s="418">
        <f>1020+[1]táj.1!N144</f>
        <v>1519</v>
      </c>
      <c r="O144" s="390">
        <f t="shared" si="10"/>
        <v>1519</v>
      </c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7"/>
      <c r="FZ144" s="127"/>
      <c r="GA144" s="127"/>
      <c r="GB144" s="127"/>
      <c r="GC144" s="127"/>
      <c r="GD144" s="127"/>
      <c r="GE144" s="127"/>
      <c r="GF144" s="127"/>
      <c r="GG144" s="127"/>
      <c r="GH144" s="127"/>
      <c r="GI144" s="127"/>
      <c r="GJ144" s="127"/>
      <c r="GK144" s="127"/>
      <c r="GL144" s="127"/>
      <c r="GM144" s="127"/>
      <c r="GN144" s="127"/>
      <c r="GO144" s="127"/>
      <c r="GP144" s="127"/>
      <c r="GQ144" s="127"/>
      <c r="GR144" s="127"/>
      <c r="GS144" s="127"/>
      <c r="GT144" s="127"/>
      <c r="GU144" s="127"/>
      <c r="GV144" s="127"/>
      <c r="GW144" s="127"/>
      <c r="GX144" s="127"/>
      <c r="GY144" s="127"/>
      <c r="GZ144" s="127"/>
      <c r="HA144" s="127"/>
      <c r="HB144" s="127"/>
      <c r="HC144" s="127"/>
      <c r="HD144" s="127"/>
      <c r="HE144" s="127"/>
      <c r="HF144" s="127"/>
      <c r="HG144" s="127"/>
      <c r="HH144" s="127"/>
      <c r="HI144" s="127"/>
      <c r="HJ144" s="127"/>
      <c r="HK144" s="127"/>
      <c r="HL144" s="127"/>
      <c r="HM144" s="127"/>
      <c r="HN144" s="127"/>
      <c r="HO144" s="127"/>
      <c r="HP144" s="127"/>
      <c r="HQ144" s="127"/>
      <c r="HR144" s="127"/>
      <c r="HS144" s="127"/>
      <c r="HT144" s="127"/>
      <c r="HU144" s="127"/>
      <c r="HV144" s="127"/>
      <c r="HW144" s="127"/>
      <c r="HX144" s="127"/>
      <c r="HY144" s="127"/>
      <c r="HZ144" s="127"/>
      <c r="IA144" s="127"/>
      <c r="IB144" s="127"/>
      <c r="IC144" s="127"/>
      <c r="ID144" s="127"/>
      <c r="IE144" s="127"/>
      <c r="IF144" s="127"/>
      <c r="IG144" s="127"/>
      <c r="IH144" s="127"/>
      <c r="II144" s="127"/>
      <c r="IJ144" s="127"/>
      <c r="IK144" s="127"/>
      <c r="IL144" s="127"/>
      <c r="IM144" s="127"/>
      <c r="IN144" s="127"/>
      <c r="IO144" s="127"/>
      <c r="IP144" s="127"/>
      <c r="IQ144" s="127"/>
      <c r="IR144" s="127"/>
      <c r="IS144" s="127"/>
      <c r="IT144" s="127"/>
      <c r="IU144" s="127"/>
      <c r="IV144" s="127"/>
    </row>
    <row r="145" spans="1:256" ht="25.5" x14ac:dyDescent="0.2">
      <c r="A145" s="129"/>
      <c r="B145" s="129"/>
      <c r="C145" s="391" t="s">
        <v>533</v>
      </c>
      <c r="D145" s="433"/>
      <c r="E145" s="418"/>
      <c r="F145" s="418"/>
      <c r="G145" s="418"/>
      <c r="H145" s="418"/>
      <c r="I145" s="418"/>
      <c r="J145" s="418"/>
      <c r="K145" s="418"/>
      <c r="L145" s="418"/>
      <c r="M145" s="418"/>
      <c r="N145" s="418"/>
      <c r="O145" s="390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  <c r="CU145" s="127"/>
      <c r="CV145" s="127"/>
      <c r="CW145" s="127"/>
      <c r="CX145" s="127"/>
      <c r="CY145" s="127"/>
      <c r="CZ145" s="127"/>
      <c r="DA145" s="127"/>
      <c r="DB145" s="127"/>
      <c r="DC145" s="127"/>
      <c r="DD145" s="127"/>
      <c r="DE145" s="127"/>
      <c r="DF145" s="127"/>
      <c r="DG145" s="127"/>
      <c r="DH145" s="127"/>
      <c r="DI145" s="127"/>
      <c r="DJ145" s="127"/>
      <c r="DK145" s="127"/>
      <c r="DL145" s="127"/>
      <c r="DM145" s="127"/>
      <c r="DN145" s="127"/>
      <c r="DO145" s="127"/>
      <c r="DP145" s="127"/>
      <c r="DQ145" s="127"/>
      <c r="DR145" s="127"/>
      <c r="DS145" s="127"/>
      <c r="DT145" s="127"/>
      <c r="DU145" s="127"/>
      <c r="DV145" s="127"/>
      <c r="DW145" s="127"/>
      <c r="DX145" s="127"/>
      <c r="DY145" s="127"/>
      <c r="DZ145" s="127"/>
      <c r="EA145" s="127"/>
      <c r="EB145" s="127"/>
      <c r="EC145" s="127"/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127"/>
      <c r="EP145" s="127"/>
      <c r="EQ145" s="127"/>
      <c r="ER145" s="127"/>
      <c r="ES145" s="127"/>
      <c r="ET145" s="127"/>
      <c r="EU145" s="12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27"/>
      <c r="FZ145" s="127"/>
      <c r="GA145" s="127"/>
      <c r="GB145" s="127"/>
      <c r="GC145" s="127"/>
      <c r="GD145" s="127"/>
      <c r="GE145" s="127"/>
      <c r="GF145" s="127"/>
      <c r="GG145" s="127"/>
      <c r="GH145" s="127"/>
      <c r="GI145" s="127"/>
      <c r="GJ145" s="127"/>
      <c r="GK145" s="127"/>
      <c r="GL145" s="127"/>
      <c r="GM145" s="127"/>
      <c r="GN145" s="127"/>
      <c r="GO145" s="127"/>
      <c r="GP145" s="127"/>
      <c r="GQ145" s="127"/>
      <c r="GR145" s="127"/>
      <c r="GS145" s="127"/>
      <c r="GT145" s="127"/>
      <c r="GU145" s="127"/>
      <c r="GV145" s="127"/>
      <c r="GW145" s="127"/>
      <c r="GX145" s="127"/>
      <c r="GY145" s="127"/>
      <c r="GZ145" s="127"/>
      <c r="HA145" s="127"/>
      <c r="HB145" s="127"/>
      <c r="HC145" s="127"/>
      <c r="HD145" s="127"/>
      <c r="HE145" s="127"/>
      <c r="HF145" s="127"/>
      <c r="HG145" s="127"/>
      <c r="HH145" s="127"/>
      <c r="HI145" s="127"/>
      <c r="HJ145" s="127"/>
      <c r="HK145" s="127"/>
      <c r="HL145" s="127"/>
      <c r="HM145" s="127"/>
      <c r="HN145" s="127"/>
      <c r="HO145" s="127"/>
      <c r="HP145" s="127"/>
      <c r="HQ145" s="127"/>
      <c r="HR145" s="127"/>
      <c r="HS145" s="127"/>
      <c r="HT145" s="127"/>
      <c r="HU145" s="127"/>
      <c r="HV145" s="127"/>
      <c r="HW145" s="127"/>
      <c r="HX145" s="127"/>
      <c r="HY145" s="127"/>
      <c r="HZ145" s="127"/>
      <c r="IA145" s="127"/>
      <c r="IB145" s="127"/>
      <c r="IC145" s="127"/>
      <c r="ID145" s="127"/>
      <c r="IE145" s="127"/>
      <c r="IF145" s="127"/>
      <c r="IG145" s="127"/>
      <c r="IH145" s="127"/>
      <c r="II145" s="127"/>
      <c r="IJ145" s="127"/>
      <c r="IK145" s="127"/>
      <c r="IL145" s="127"/>
      <c r="IM145" s="127"/>
      <c r="IN145" s="127"/>
      <c r="IO145" s="127"/>
      <c r="IP145" s="127"/>
      <c r="IQ145" s="127"/>
      <c r="IR145" s="127"/>
      <c r="IS145" s="127"/>
      <c r="IT145" s="127"/>
      <c r="IU145" s="127"/>
      <c r="IV145" s="127"/>
    </row>
    <row r="146" spans="1:256" x14ac:dyDescent="0.2">
      <c r="A146" s="129"/>
      <c r="B146" s="129"/>
      <c r="C146" s="393" t="s">
        <v>534</v>
      </c>
      <c r="D146" s="432">
        <v>191907</v>
      </c>
      <c r="E146" s="418">
        <f>0+[1]táj.1!E146</f>
        <v>0</v>
      </c>
      <c r="F146" s="418">
        <f>0+[1]táj.1!F146</f>
        <v>0</v>
      </c>
      <c r="G146" s="418">
        <f>4700000+[1]táj.1!G146</f>
        <v>4700000</v>
      </c>
      <c r="H146" s="418">
        <f>0+[1]táj.1!H146</f>
        <v>0</v>
      </c>
      <c r="I146" s="418">
        <f>0+[1]táj.1!I146</f>
        <v>0</v>
      </c>
      <c r="J146" s="418">
        <f>0+[1]táj.1!J146</f>
        <v>0</v>
      </c>
      <c r="K146" s="418">
        <f>0+[1]táj.1!K146</f>
        <v>0</v>
      </c>
      <c r="L146" s="418">
        <f>0+[1]táj.1!L146</f>
        <v>0</v>
      </c>
      <c r="M146" s="418">
        <f>0+[1]táj.1!M146</f>
        <v>0</v>
      </c>
      <c r="N146" s="418">
        <f>0+[1]táj.1!N146</f>
        <v>0</v>
      </c>
      <c r="O146" s="390">
        <f t="shared" ref="O146:O151" si="11">SUM(E146:N146)</f>
        <v>4700000</v>
      </c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  <c r="DD146" s="127"/>
      <c r="DE146" s="127"/>
      <c r="DF146" s="127"/>
      <c r="DG146" s="127"/>
      <c r="DH146" s="127"/>
      <c r="DI146" s="127"/>
      <c r="DJ146" s="127"/>
      <c r="DK146" s="127"/>
      <c r="DL146" s="127"/>
      <c r="DM146" s="127"/>
      <c r="DN146" s="127"/>
      <c r="DO146" s="127"/>
      <c r="DP146" s="127"/>
      <c r="DQ146" s="127"/>
      <c r="DR146" s="127"/>
      <c r="DS146" s="127"/>
      <c r="DT146" s="127"/>
      <c r="DU146" s="127"/>
      <c r="DV146" s="127"/>
      <c r="DW146" s="127"/>
      <c r="DX146" s="127"/>
      <c r="DY146" s="127"/>
      <c r="DZ146" s="127"/>
      <c r="EA146" s="127"/>
      <c r="EB146" s="127"/>
      <c r="EC146" s="127"/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127"/>
      <c r="EP146" s="127"/>
      <c r="EQ146" s="127"/>
      <c r="ER146" s="127"/>
      <c r="ES146" s="127"/>
      <c r="ET146" s="127"/>
      <c r="EU146" s="127"/>
      <c r="EV146" s="12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27"/>
      <c r="FX146" s="127"/>
      <c r="FY146" s="127"/>
      <c r="FZ146" s="127"/>
      <c r="GA146" s="127"/>
      <c r="GB146" s="127"/>
      <c r="GC146" s="127"/>
      <c r="GD146" s="127"/>
      <c r="GE146" s="127"/>
      <c r="GF146" s="127"/>
      <c r="GG146" s="127"/>
      <c r="GH146" s="127"/>
      <c r="GI146" s="127"/>
      <c r="GJ146" s="127"/>
      <c r="GK146" s="127"/>
      <c r="GL146" s="127"/>
      <c r="GM146" s="127"/>
      <c r="GN146" s="127"/>
      <c r="GO146" s="127"/>
      <c r="GP146" s="127"/>
      <c r="GQ146" s="127"/>
      <c r="GR146" s="127"/>
      <c r="GS146" s="127"/>
      <c r="GT146" s="127"/>
      <c r="GU146" s="127"/>
      <c r="GV146" s="127"/>
      <c r="GW146" s="127"/>
      <c r="GX146" s="127"/>
      <c r="GY146" s="127"/>
      <c r="GZ146" s="127"/>
      <c r="HA146" s="127"/>
      <c r="HB146" s="127"/>
      <c r="HC146" s="127"/>
      <c r="HD146" s="127"/>
      <c r="HE146" s="127"/>
      <c r="HF146" s="127"/>
      <c r="HG146" s="127"/>
      <c r="HH146" s="127"/>
      <c r="HI146" s="127"/>
      <c r="HJ146" s="127"/>
      <c r="HK146" s="127"/>
      <c r="HL146" s="127"/>
      <c r="HM146" s="127"/>
      <c r="HN146" s="127"/>
      <c r="HO146" s="127"/>
      <c r="HP146" s="127"/>
      <c r="HQ146" s="127"/>
      <c r="HR146" s="127"/>
      <c r="HS146" s="127"/>
      <c r="HT146" s="127"/>
      <c r="HU146" s="127"/>
      <c r="HV146" s="127"/>
      <c r="HW146" s="127"/>
      <c r="HX146" s="127"/>
      <c r="HY146" s="127"/>
      <c r="HZ146" s="127"/>
      <c r="IA146" s="127"/>
      <c r="IB146" s="127"/>
      <c r="IC146" s="127"/>
      <c r="ID146" s="127"/>
      <c r="IE146" s="127"/>
      <c r="IF146" s="127"/>
      <c r="IG146" s="127"/>
      <c r="IH146" s="127"/>
      <c r="II146" s="127"/>
      <c r="IJ146" s="127"/>
      <c r="IK146" s="127"/>
      <c r="IL146" s="127"/>
      <c r="IM146" s="127"/>
      <c r="IN146" s="127"/>
      <c r="IO146" s="127"/>
      <c r="IP146" s="127"/>
      <c r="IQ146" s="127"/>
      <c r="IR146" s="127"/>
      <c r="IS146" s="127"/>
      <c r="IT146" s="127"/>
      <c r="IU146" s="127"/>
      <c r="IV146" s="127"/>
    </row>
    <row r="147" spans="1:256" x14ac:dyDescent="0.2">
      <c r="A147" s="129"/>
      <c r="B147" s="129"/>
      <c r="C147" s="393" t="s">
        <v>535</v>
      </c>
      <c r="D147" s="432">
        <v>191907</v>
      </c>
      <c r="E147" s="418">
        <f>0+[1]táj.1!E147</f>
        <v>0</v>
      </c>
      <c r="F147" s="418">
        <f>0+[1]táj.1!F147</f>
        <v>0</v>
      </c>
      <c r="G147" s="418">
        <f>280000+[1]táj.1!G147</f>
        <v>0</v>
      </c>
      <c r="H147" s="418">
        <f>0+[1]táj.1!H147</f>
        <v>0</v>
      </c>
      <c r="I147" s="418">
        <f>0+[1]táj.1!I147</f>
        <v>0</v>
      </c>
      <c r="J147" s="418">
        <f>0+[1]táj.1!J147</f>
        <v>0</v>
      </c>
      <c r="K147" s="418">
        <f>0+[1]táj.1!K147</f>
        <v>0</v>
      </c>
      <c r="L147" s="418">
        <f>0+[1]táj.1!L147</f>
        <v>0</v>
      </c>
      <c r="M147" s="418">
        <f>0+[1]táj.1!M147</f>
        <v>0</v>
      </c>
      <c r="N147" s="418">
        <f>0+[1]táj.1!N147</f>
        <v>0</v>
      </c>
      <c r="O147" s="390">
        <f t="shared" si="11"/>
        <v>0</v>
      </c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  <c r="DD147" s="127"/>
      <c r="DE147" s="127"/>
      <c r="DF147" s="127"/>
      <c r="DG147" s="127"/>
      <c r="DH147" s="127"/>
      <c r="DI147" s="127"/>
      <c r="DJ147" s="127"/>
      <c r="DK147" s="127"/>
      <c r="DL147" s="127"/>
      <c r="DM147" s="127"/>
      <c r="DN147" s="127"/>
      <c r="DO147" s="127"/>
      <c r="DP147" s="127"/>
      <c r="DQ147" s="127"/>
      <c r="DR147" s="127"/>
      <c r="DS147" s="127"/>
      <c r="DT147" s="127"/>
      <c r="DU147" s="127"/>
      <c r="DV147" s="127"/>
      <c r="DW147" s="127"/>
      <c r="DX147" s="127"/>
      <c r="DY147" s="127"/>
      <c r="DZ147" s="127"/>
      <c r="EA147" s="127"/>
      <c r="EB147" s="127"/>
      <c r="EC147" s="127"/>
      <c r="ED147" s="127"/>
      <c r="EE147" s="127"/>
      <c r="EF147" s="127"/>
      <c r="EG147" s="127"/>
      <c r="EH147" s="127"/>
      <c r="EI147" s="127"/>
      <c r="EJ147" s="127"/>
      <c r="EK147" s="127"/>
      <c r="EL147" s="127"/>
      <c r="EM147" s="127"/>
      <c r="EN147" s="127"/>
      <c r="EO147" s="127"/>
      <c r="EP147" s="127"/>
      <c r="EQ147" s="127"/>
      <c r="ER147" s="127"/>
      <c r="ES147" s="127"/>
      <c r="ET147" s="127"/>
      <c r="EU147" s="127"/>
      <c r="EV147" s="12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27"/>
      <c r="FX147" s="127"/>
      <c r="FY147" s="127"/>
      <c r="FZ147" s="127"/>
      <c r="GA147" s="127"/>
      <c r="GB147" s="127"/>
      <c r="GC147" s="127"/>
      <c r="GD147" s="127"/>
      <c r="GE147" s="127"/>
      <c r="GF147" s="127"/>
      <c r="GG147" s="127"/>
      <c r="GH147" s="127"/>
      <c r="GI147" s="127"/>
      <c r="GJ147" s="127"/>
      <c r="GK147" s="127"/>
      <c r="GL147" s="127"/>
      <c r="GM147" s="127"/>
      <c r="GN147" s="127"/>
      <c r="GO147" s="127"/>
      <c r="GP147" s="127"/>
      <c r="GQ147" s="127"/>
      <c r="GR147" s="127"/>
      <c r="GS147" s="127"/>
      <c r="GT147" s="127"/>
      <c r="GU147" s="127"/>
      <c r="GV147" s="127"/>
      <c r="GW147" s="127"/>
      <c r="GX147" s="127"/>
      <c r="GY147" s="127"/>
      <c r="GZ147" s="127"/>
      <c r="HA147" s="127"/>
      <c r="HB147" s="127"/>
      <c r="HC147" s="127"/>
      <c r="HD147" s="127"/>
      <c r="HE147" s="127"/>
      <c r="HF147" s="127"/>
      <c r="HG147" s="127"/>
      <c r="HH147" s="127"/>
      <c r="HI147" s="127"/>
      <c r="HJ147" s="127"/>
      <c r="HK147" s="127"/>
      <c r="HL147" s="127"/>
      <c r="HM147" s="127"/>
      <c r="HN147" s="127"/>
      <c r="HO147" s="127"/>
      <c r="HP147" s="127"/>
      <c r="HQ147" s="127"/>
      <c r="HR147" s="127"/>
      <c r="HS147" s="127"/>
      <c r="HT147" s="127"/>
      <c r="HU147" s="127"/>
      <c r="HV147" s="127"/>
      <c r="HW147" s="127"/>
      <c r="HX147" s="127"/>
      <c r="HY147" s="127"/>
      <c r="HZ147" s="127"/>
      <c r="IA147" s="127"/>
      <c r="IB147" s="127"/>
      <c r="IC147" s="127"/>
      <c r="ID147" s="127"/>
      <c r="IE147" s="127"/>
      <c r="IF147" s="127"/>
      <c r="IG147" s="127"/>
      <c r="IH147" s="127"/>
      <c r="II147" s="127"/>
      <c r="IJ147" s="127"/>
      <c r="IK147" s="127"/>
      <c r="IL147" s="127"/>
      <c r="IM147" s="127"/>
      <c r="IN147" s="127"/>
      <c r="IO147" s="127"/>
      <c r="IP147" s="127"/>
      <c r="IQ147" s="127"/>
      <c r="IR147" s="127"/>
      <c r="IS147" s="127"/>
      <c r="IT147" s="127"/>
      <c r="IU147" s="127"/>
      <c r="IV147" s="127"/>
    </row>
    <row r="148" spans="1:256" x14ac:dyDescent="0.2">
      <c r="A148" s="129"/>
      <c r="B148" s="129"/>
      <c r="C148" s="393" t="s">
        <v>536</v>
      </c>
      <c r="D148" s="432">
        <v>191907</v>
      </c>
      <c r="E148" s="418">
        <f>0+[1]táj.1!E148</f>
        <v>0</v>
      </c>
      <c r="F148" s="418">
        <f>0+[1]táj.1!F148</f>
        <v>0</v>
      </c>
      <c r="G148" s="418">
        <f>21000+[1]táj.1!G148</f>
        <v>13000</v>
      </c>
      <c r="H148" s="418">
        <f>0+[1]táj.1!H148</f>
        <v>0</v>
      </c>
      <c r="I148" s="418">
        <f>0+[1]táj.1!I148</f>
        <v>0</v>
      </c>
      <c r="J148" s="418">
        <f>0+[1]táj.1!J148</f>
        <v>0</v>
      </c>
      <c r="K148" s="418">
        <f>0+[1]táj.1!K148</f>
        <v>0</v>
      </c>
      <c r="L148" s="418">
        <f>0+[1]táj.1!L148</f>
        <v>0</v>
      </c>
      <c r="M148" s="418">
        <f>0+[1]táj.1!M148</f>
        <v>0</v>
      </c>
      <c r="N148" s="418">
        <f>0+[1]táj.1!N148</f>
        <v>0</v>
      </c>
      <c r="O148" s="390">
        <f t="shared" si="11"/>
        <v>13000</v>
      </c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  <c r="EH148" s="127"/>
      <c r="EI148" s="127"/>
      <c r="EJ148" s="127"/>
      <c r="EK148" s="127"/>
      <c r="EL148" s="127"/>
      <c r="EM148" s="127"/>
      <c r="EN148" s="127"/>
      <c r="EO148" s="127"/>
      <c r="EP148" s="127"/>
      <c r="EQ148" s="127"/>
      <c r="ER148" s="127"/>
      <c r="ES148" s="127"/>
      <c r="ET148" s="127"/>
      <c r="EU148" s="127"/>
      <c r="EV148" s="127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27"/>
      <c r="FX148" s="127"/>
      <c r="FY148" s="127"/>
      <c r="FZ148" s="127"/>
      <c r="GA148" s="127"/>
      <c r="GB148" s="127"/>
      <c r="GC148" s="127"/>
      <c r="GD148" s="127"/>
      <c r="GE148" s="127"/>
      <c r="GF148" s="127"/>
      <c r="GG148" s="127"/>
      <c r="GH148" s="127"/>
      <c r="GI148" s="127"/>
      <c r="GJ148" s="127"/>
      <c r="GK148" s="127"/>
      <c r="GL148" s="127"/>
      <c r="GM148" s="127"/>
      <c r="GN148" s="127"/>
      <c r="GO148" s="127"/>
      <c r="GP148" s="127"/>
      <c r="GQ148" s="127"/>
      <c r="GR148" s="127"/>
      <c r="GS148" s="127"/>
      <c r="GT148" s="127"/>
      <c r="GU148" s="127"/>
      <c r="GV148" s="127"/>
      <c r="GW148" s="127"/>
      <c r="GX148" s="127"/>
      <c r="GY148" s="127"/>
      <c r="GZ148" s="127"/>
      <c r="HA148" s="127"/>
      <c r="HB148" s="127"/>
      <c r="HC148" s="127"/>
      <c r="HD148" s="127"/>
      <c r="HE148" s="127"/>
      <c r="HF148" s="127"/>
      <c r="HG148" s="127"/>
      <c r="HH148" s="127"/>
      <c r="HI148" s="127"/>
      <c r="HJ148" s="127"/>
      <c r="HK148" s="127"/>
      <c r="HL148" s="127"/>
      <c r="HM148" s="127"/>
      <c r="HN148" s="127"/>
      <c r="HO148" s="127"/>
      <c r="HP148" s="127"/>
      <c r="HQ148" s="127"/>
      <c r="HR148" s="127"/>
      <c r="HS148" s="127"/>
      <c r="HT148" s="127"/>
      <c r="HU148" s="127"/>
      <c r="HV148" s="127"/>
      <c r="HW148" s="127"/>
      <c r="HX148" s="127"/>
      <c r="HY148" s="127"/>
      <c r="HZ148" s="127"/>
      <c r="IA148" s="127"/>
      <c r="IB148" s="127"/>
      <c r="IC148" s="127"/>
      <c r="ID148" s="127"/>
      <c r="IE148" s="127"/>
      <c r="IF148" s="127"/>
      <c r="IG148" s="127"/>
      <c r="IH148" s="127"/>
      <c r="II148" s="127"/>
      <c r="IJ148" s="127"/>
      <c r="IK148" s="127"/>
      <c r="IL148" s="127"/>
      <c r="IM148" s="127"/>
      <c r="IN148" s="127"/>
      <c r="IO148" s="127"/>
      <c r="IP148" s="127"/>
      <c r="IQ148" s="127"/>
      <c r="IR148" s="127"/>
      <c r="IS148" s="127"/>
      <c r="IT148" s="127"/>
      <c r="IU148" s="127"/>
      <c r="IV148" s="127"/>
    </row>
    <row r="149" spans="1:256" x14ac:dyDescent="0.2">
      <c r="A149" s="129"/>
      <c r="B149" s="129"/>
      <c r="C149" s="393" t="s">
        <v>537</v>
      </c>
      <c r="D149" s="432">
        <v>191907</v>
      </c>
      <c r="E149" s="418">
        <f>0+[1]táj.1!E149</f>
        <v>0</v>
      </c>
      <c r="F149" s="418">
        <f>0+[1]táj.1!F149</f>
        <v>0</v>
      </c>
      <c r="G149" s="418">
        <f>5000+[1]táj.1!G149</f>
        <v>5000</v>
      </c>
      <c r="H149" s="418">
        <f>0+[1]táj.1!H149</f>
        <v>0</v>
      </c>
      <c r="I149" s="418">
        <f>0+[1]táj.1!I149</f>
        <v>0</v>
      </c>
      <c r="J149" s="418">
        <f>0+[1]táj.1!J149</f>
        <v>0</v>
      </c>
      <c r="K149" s="418">
        <f>0+[1]táj.1!K149</f>
        <v>0</v>
      </c>
      <c r="L149" s="418">
        <f>0+[1]táj.1!L149</f>
        <v>0</v>
      </c>
      <c r="M149" s="418">
        <f>0+[1]táj.1!M149</f>
        <v>0</v>
      </c>
      <c r="N149" s="418">
        <f>0+[1]táj.1!N149</f>
        <v>0</v>
      </c>
      <c r="O149" s="390">
        <f t="shared" si="11"/>
        <v>5000</v>
      </c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127"/>
      <c r="FY149" s="127"/>
      <c r="FZ149" s="127"/>
      <c r="GA149" s="127"/>
      <c r="GB149" s="127"/>
      <c r="GC149" s="127"/>
      <c r="GD149" s="127"/>
      <c r="GE149" s="127"/>
      <c r="GF149" s="127"/>
      <c r="GG149" s="127"/>
      <c r="GH149" s="127"/>
      <c r="GI149" s="127"/>
      <c r="GJ149" s="127"/>
      <c r="GK149" s="127"/>
      <c r="GL149" s="127"/>
      <c r="GM149" s="127"/>
      <c r="GN149" s="127"/>
      <c r="GO149" s="127"/>
      <c r="GP149" s="127"/>
      <c r="GQ149" s="127"/>
      <c r="GR149" s="127"/>
      <c r="GS149" s="127"/>
      <c r="GT149" s="127"/>
      <c r="GU149" s="127"/>
      <c r="GV149" s="127"/>
      <c r="GW149" s="127"/>
      <c r="GX149" s="127"/>
      <c r="GY149" s="127"/>
      <c r="GZ149" s="127"/>
      <c r="HA149" s="127"/>
      <c r="HB149" s="127"/>
      <c r="HC149" s="127"/>
      <c r="HD149" s="127"/>
      <c r="HE149" s="127"/>
      <c r="HF149" s="127"/>
      <c r="HG149" s="127"/>
      <c r="HH149" s="127"/>
      <c r="HI149" s="127"/>
      <c r="HJ149" s="127"/>
      <c r="HK149" s="127"/>
      <c r="HL149" s="127"/>
      <c r="HM149" s="127"/>
      <c r="HN149" s="127"/>
      <c r="HO149" s="127"/>
      <c r="HP149" s="127"/>
      <c r="HQ149" s="127"/>
      <c r="HR149" s="127"/>
      <c r="HS149" s="127"/>
      <c r="HT149" s="127"/>
      <c r="HU149" s="127"/>
      <c r="HV149" s="127"/>
      <c r="HW149" s="127"/>
      <c r="HX149" s="127"/>
      <c r="HY149" s="127"/>
      <c r="HZ149" s="127"/>
      <c r="IA149" s="127"/>
      <c r="IB149" s="127"/>
      <c r="IC149" s="127"/>
      <c r="ID149" s="127"/>
      <c r="IE149" s="127"/>
      <c r="IF149" s="127"/>
      <c r="IG149" s="127"/>
      <c r="IH149" s="127"/>
      <c r="II149" s="127"/>
      <c r="IJ149" s="127"/>
      <c r="IK149" s="127"/>
      <c r="IL149" s="127"/>
      <c r="IM149" s="127"/>
      <c r="IN149" s="127"/>
      <c r="IO149" s="127"/>
      <c r="IP149" s="127"/>
      <c r="IQ149" s="127"/>
      <c r="IR149" s="127"/>
      <c r="IS149" s="127"/>
      <c r="IT149" s="127"/>
      <c r="IU149" s="127"/>
      <c r="IV149" s="127"/>
    </row>
    <row r="150" spans="1:256" x14ac:dyDescent="0.2">
      <c r="A150" s="129"/>
      <c r="B150" s="129"/>
      <c r="C150" s="393" t="s">
        <v>538</v>
      </c>
      <c r="D150" s="432">
        <v>191907</v>
      </c>
      <c r="E150" s="418">
        <f>0+[1]táj.1!E150</f>
        <v>0</v>
      </c>
      <c r="F150" s="418">
        <f>0+[1]táj.1!F150</f>
        <v>0</v>
      </c>
      <c r="G150" s="418">
        <f>1065000+[1]táj.1!G150</f>
        <v>1065000</v>
      </c>
      <c r="H150" s="418">
        <f>0+[1]táj.1!H150</f>
        <v>0</v>
      </c>
      <c r="I150" s="418">
        <f>0+[1]táj.1!I150</f>
        <v>0</v>
      </c>
      <c r="J150" s="418">
        <f>0+[1]táj.1!J150</f>
        <v>0</v>
      </c>
      <c r="K150" s="418">
        <f>0+[1]táj.1!K150</f>
        <v>0</v>
      </c>
      <c r="L150" s="418">
        <f>0+[1]táj.1!L150</f>
        <v>0</v>
      </c>
      <c r="M150" s="418">
        <f>0+[1]táj.1!M150</f>
        <v>0</v>
      </c>
      <c r="N150" s="418">
        <f>0+[1]táj.1!N150</f>
        <v>0</v>
      </c>
      <c r="O150" s="390">
        <f t="shared" si="11"/>
        <v>1065000</v>
      </c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  <c r="HA150" s="127"/>
      <c r="HB150" s="127"/>
      <c r="HC150" s="127"/>
      <c r="HD150" s="127"/>
      <c r="HE150" s="127"/>
      <c r="HF150" s="127"/>
      <c r="HG150" s="127"/>
      <c r="HH150" s="127"/>
      <c r="HI150" s="127"/>
      <c r="HJ150" s="127"/>
      <c r="HK150" s="127"/>
      <c r="HL150" s="127"/>
      <c r="HM150" s="127"/>
      <c r="HN150" s="127"/>
      <c r="HO150" s="127"/>
      <c r="HP150" s="127"/>
      <c r="HQ150" s="127"/>
      <c r="HR150" s="127"/>
      <c r="HS150" s="127"/>
      <c r="HT150" s="127"/>
      <c r="HU150" s="127"/>
      <c r="HV150" s="127"/>
      <c r="HW150" s="127"/>
      <c r="HX150" s="127"/>
      <c r="HY150" s="127"/>
      <c r="HZ150" s="127"/>
      <c r="IA150" s="127"/>
      <c r="IB150" s="127"/>
      <c r="IC150" s="127"/>
      <c r="ID150" s="127"/>
      <c r="IE150" s="127"/>
      <c r="IF150" s="127"/>
      <c r="IG150" s="127"/>
      <c r="IH150" s="127"/>
      <c r="II150" s="127"/>
      <c r="IJ150" s="127"/>
      <c r="IK150" s="127"/>
      <c r="IL150" s="127"/>
      <c r="IM150" s="127"/>
      <c r="IN150" s="127"/>
      <c r="IO150" s="127"/>
      <c r="IP150" s="127"/>
      <c r="IQ150" s="127"/>
      <c r="IR150" s="127"/>
      <c r="IS150" s="127"/>
      <c r="IT150" s="127"/>
      <c r="IU150" s="127"/>
      <c r="IV150" s="127"/>
    </row>
    <row r="151" spans="1:256" x14ac:dyDescent="0.2">
      <c r="A151" s="129"/>
      <c r="B151" s="129"/>
      <c r="C151" s="393" t="s">
        <v>539</v>
      </c>
      <c r="D151" s="432">
        <v>191907</v>
      </c>
      <c r="E151" s="418">
        <f>0+[1]táj.1!E151</f>
        <v>0</v>
      </c>
      <c r="F151" s="418">
        <f>0+[1]táj.1!F151</f>
        <v>0</v>
      </c>
      <c r="G151" s="418">
        <f>21000+[1]táj.1!G151</f>
        <v>21000</v>
      </c>
      <c r="H151" s="418">
        <f>0+[1]táj.1!H151</f>
        <v>0</v>
      </c>
      <c r="I151" s="418">
        <f>0+[1]táj.1!I151</f>
        <v>0</v>
      </c>
      <c r="J151" s="418">
        <f>0+[1]táj.1!J151</f>
        <v>0</v>
      </c>
      <c r="K151" s="418">
        <f>0+[1]táj.1!K151</f>
        <v>0</v>
      </c>
      <c r="L151" s="418">
        <f>0+[1]táj.1!L151</f>
        <v>0</v>
      </c>
      <c r="M151" s="418">
        <f>0+[1]táj.1!M151</f>
        <v>0</v>
      </c>
      <c r="N151" s="418">
        <f>0+[1]táj.1!N151</f>
        <v>0</v>
      </c>
      <c r="O151" s="390">
        <f t="shared" si="11"/>
        <v>21000</v>
      </c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  <c r="HA151" s="127"/>
      <c r="HB151" s="127"/>
      <c r="HC151" s="127"/>
      <c r="HD151" s="127"/>
      <c r="HE151" s="127"/>
      <c r="HF151" s="127"/>
      <c r="HG151" s="127"/>
      <c r="HH151" s="127"/>
      <c r="HI151" s="127"/>
      <c r="HJ151" s="127"/>
      <c r="HK151" s="127"/>
      <c r="HL151" s="127"/>
      <c r="HM151" s="127"/>
      <c r="HN151" s="127"/>
      <c r="HO151" s="127"/>
      <c r="HP151" s="127"/>
      <c r="HQ151" s="127"/>
      <c r="HR151" s="127"/>
      <c r="HS151" s="127"/>
      <c r="HT151" s="127"/>
      <c r="HU151" s="127"/>
      <c r="HV151" s="127"/>
      <c r="HW151" s="127"/>
      <c r="HX151" s="127"/>
      <c r="HY151" s="127"/>
      <c r="HZ151" s="127"/>
      <c r="IA151" s="127"/>
      <c r="IB151" s="127"/>
      <c r="IC151" s="127"/>
      <c r="ID151" s="127"/>
      <c r="IE151" s="127"/>
      <c r="IF151" s="127"/>
      <c r="IG151" s="127"/>
      <c r="IH151" s="127"/>
      <c r="II151" s="127"/>
      <c r="IJ151" s="127"/>
      <c r="IK151" s="127"/>
      <c r="IL151" s="127"/>
      <c r="IM151" s="127"/>
      <c r="IN151" s="127"/>
      <c r="IO151" s="127"/>
      <c r="IP151" s="127"/>
      <c r="IQ151" s="127"/>
      <c r="IR151" s="127"/>
      <c r="IS151" s="127"/>
      <c r="IT151" s="127"/>
      <c r="IU151" s="127"/>
      <c r="IV151" s="127"/>
    </row>
    <row r="152" spans="1:256" ht="25.5" x14ac:dyDescent="0.2">
      <c r="A152" s="129"/>
      <c r="B152" s="129"/>
      <c r="C152" s="406" t="s">
        <v>540</v>
      </c>
      <c r="D152" s="410"/>
      <c r="E152" s="418"/>
      <c r="F152" s="418"/>
      <c r="G152" s="418"/>
      <c r="H152" s="418"/>
      <c r="I152" s="418"/>
      <c r="J152" s="418"/>
      <c r="K152" s="418"/>
      <c r="L152" s="418"/>
      <c r="M152" s="418"/>
      <c r="N152" s="418"/>
      <c r="O152" s="390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  <c r="HA152" s="127"/>
      <c r="HB152" s="127"/>
      <c r="HC152" s="127"/>
      <c r="HD152" s="127"/>
      <c r="HE152" s="127"/>
      <c r="HF152" s="127"/>
      <c r="HG152" s="127"/>
      <c r="HH152" s="127"/>
      <c r="HI152" s="127"/>
      <c r="HJ152" s="127"/>
      <c r="HK152" s="127"/>
      <c r="HL152" s="127"/>
      <c r="HM152" s="127"/>
      <c r="HN152" s="127"/>
      <c r="HO152" s="127"/>
      <c r="HP152" s="127"/>
      <c r="HQ152" s="127"/>
      <c r="HR152" s="127"/>
      <c r="HS152" s="127"/>
      <c r="HT152" s="127"/>
      <c r="HU152" s="127"/>
      <c r="HV152" s="127"/>
      <c r="HW152" s="127"/>
      <c r="HX152" s="127"/>
      <c r="HY152" s="127"/>
      <c r="HZ152" s="127"/>
      <c r="IA152" s="127"/>
      <c r="IB152" s="127"/>
      <c r="IC152" s="127"/>
      <c r="ID152" s="127"/>
      <c r="IE152" s="127"/>
      <c r="IF152" s="127"/>
      <c r="IG152" s="127"/>
      <c r="IH152" s="127"/>
      <c r="II152" s="127"/>
      <c r="IJ152" s="127"/>
      <c r="IK152" s="127"/>
      <c r="IL152" s="127"/>
      <c r="IM152" s="127"/>
      <c r="IN152" s="127"/>
      <c r="IO152" s="127"/>
      <c r="IP152" s="127"/>
      <c r="IQ152" s="127"/>
      <c r="IR152" s="127"/>
      <c r="IS152" s="127"/>
      <c r="IT152" s="127"/>
      <c r="IU152" s="127"/>
      <c r="IV152" s="127"/>
    </row>
    <row r="153" spans="1:256" ht="38.25" x14ac:dyDescent="0.2">
      <c r="A153" s="129"/>
      <c r="B153" s="129"/>
      <c r="C153" s="409" t="s">
        <v>541</v>
      </c>
      <c r="D153" s="410">
        <v>191607</v>
      </c>
      <c r="E153" s="418">
        <f>18000+[1]táj.1!E153</f>
        <v>18000</v>
      </c>
      <c r="F153" s="418">
        <f>0+[1]táj.1!F153</f>
        <v>0</v>
      </c>
      <c r="G153" s="418">
        <f>0+[1]táj.1!G153</f>
        <v>0</v>
      </c>
      <c r="H153" s="418">
        <f>0+[1]táj.1!H153</f>
        <v>0</v>
      </c>
      <c r="I153" s="418">
        <f>0+[1]táj.1!I153</f>
        <v>0</v>
      </c>
      <c r="J153" s="418">
        <f>0+[1]táj.1!J153</f>
        <v>0</v>
      </c>
      <c r="K153" s="418">
        <f>0+[1]táj.1!K153</f>
        <v>0</v>
      </c>
      <c r="L153" s="418">
        <f>0+[1]táj.1!L153</f>
        <v>0</v>
      </c>
      <c r="M153" s="418">
        <f>0+[1]táj.1!M153</f>
        <v>0</v>
      </c>
      <c r="N153" s="418">
        <f>0+[1]táj.1!N153</f>
        <v>0</v>
      </c>
      <c r="O153" s="390">
        <f>SUM(E153:N153)</f>
        <v>18000</v>
      </c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  <c r="HA153" s="127"/>
      <c r="HB153" s="127"/>
      <c r="HC153" s="127"/>
      <c r="HD153" s="127"/>
      <c r="HE153" s="127"/>
      <c r="HF153" s="127"/>
      <c r="HG153" s="127"/>
      <c r="HH153" s="127"/>
      <c r="HI153" s="127"/>
      <c r="HJ153" s="127"/>
      <c r="HK153" s="127"/>
      <c r="HL153" s="127"/>
      <c r="HM153" s="127"/>
      <c r="HN153" s="127"/>
      <c r="HO153" s="127"/>
      <c r="HP153" s="127"/>
      <c r="HQ153" s="127"/>
      <c r="HR153" s="127"/>
      <c r="HS153" s="127"/>
      <c r="HT153" s="127"/>
      <c r="HU153" s="127"/>
      <c r="HV153" s="127"/>
      <c r="HW153" s="127"/>
      <c r="HX153" s="127"/>
      <c r="HY153" s="127"/>
      <c r="HZ153" s="127"/>
      <c r="IA153" s="127"/>
      <c r="IB153" s="127"/>
      <c r="IC153" s="127"/>
      <c r="ID153" s="127"/>
      <c r="IE153" s="127"/>
      <c r="IF153" s="127"/>
      <c r="IG153" s="127"/>
      <c r="IH153" s="127"/>
      <c r="II153" s="127"/>
      <c r="IJ153" s="127"/>
      <c r="IK153" s="127"/>
      <c r="IL153" s="127"/>
      <c r="IM153" s="127"/>
      <c r="IN153" s="127"/>
      <c r="IO153" s="127"/>
      <c r="IP153" s="127"/>
      <c r="IQ153" s="127"/>
      <c r="IR153" s="127"/>
      <c r="IS153" s="127"/>
      <c r="IT153" s="127"/>
      <c r="IU153" s="127"/>
      <c r="IV153" s="127"/>
    </row>
    <row r="154" spans="1:256" x14ac:dyDescent="0.2">
      <c r="A154" s="129"/>
      <c r="B154" s="129"/>
      <c r="C154" s="409" t="s">
        <v>542</v>
      </c>
      <c r="D154" s="410"/>
      <c r="E154" s="418"/>
      <c r="F154" s="418"/>
      <c r="G154" s="418"/>
      <c r="H154" s="418"/>
      <c r="I154" s="418"/>
      <c r="J154" s="418"/>
      <c r="K154" s="418"/>
      <c r="L154" s="418"/>
      <c r="M154" s="418"/>
      <c r="N154" s="418"/>
      <c r="O154" s="390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  <c r="HA154" s="127"/>
      <c r="HB154" s="127"/>
      <c r="HC154" s="127"/>
      <c r="HD154" s="127"/>
      <c r="HE154" s="127"/>
      <c r="HF154" s="127"/>
      <c r="HG154" s="127"/>
      <c r="HH154" s="127"/>
      <c r="HI154" s="127"/>
      <c r="HJ154" s="127"/>
      <c r="HK154" s="127"/>
      <c r="HL154" s="127"/>
      <c r="HM154" s="127"/>
      <c r="HN154" s="127"/>
      <c r="HO154" s="127"/>
      <c r="HP154" s="127"/>
      <c r="HQ154" s="127"/>
      <c r="HR154" s="127"/>
      <c r="HS154" s="127"/>
      <c r="HT154" s="127"/>
      <c r="HU154" s="127"/>
      <c r="HV154" s="127"/>
      <c r="HW154" s="127"/>
      <c r="HX154" s="127"/>
      <c r="HY154" s="127"/>
      <c r="HZ154" s="127"/>
      <c r="IA154" s="127"/>
      <c r="IB154" s="127"/>
      <c r="IC154" s="127"/>
      <c r="ID154" s="127"/>
      <c r="IE154" s="127"/>
      <c r="IF154" s="127"/>
      <c r="IG154" s="127"/>
      <c r="IH154" s="127"/>
      <c r="II154" s="127"/>
      <c r="IJ154" s="127"/>
      <c r="IK154" s="127"/>
      <c r="IL154" s="127"/>
      <c r="IM154" s="127"/>
      <c r="IN154" s="127"/>
      <c r="IO154" s="127"/>
      <c r="IP154" s="127"/>
      <c r="IQ154" s="127"/>
      <c r="IR154" s="127"/>
      <c r="IS154" s="127"/>
      <c r="IT154" s="127"/>
      <c r="IU154" s="127"/>
      <c r="IV154" s="127"/>
    </row>
    <row r="155" spans="1:256" ht="25.5" x14ac:dyDescent="0.2">
      <c r="A155" s="129"/>
      <c r="B155" s="129"/>
      <c r="C155" s="391" t="s">
        <v>543</v>
      </c>
      <c r="D155" s="423">
        <v>191906</v>
      </c>
      <c r="E155" s="418">
        <f>16350+[1]táj.1!E155</f>
        <v>16350</v>
      </c>
      <c r="F155" s="418">
        <f>0+[1]táj.1!F155</f>
        <v>0</v>
      </c>
      <c r="G155" s="418">
        <f>0+[1]táj.1!G155</f>
        <v>0</v>
      </c>
      <c r="H155" s="418">
        <f>0+[1]táj.1!H155</f>
        <v>0</v>
      </c>
      <c r="I155" s="418">
        <f>0+[1]táj.1!I155</f>
        <v>0</v>
      </c>
      <c r="J155" s="418">
        <f>0+[1]táj.1!J155</f>
        <v>0</v>
      </c>
      <c r="K155" s="418">
        <f>0+[1]táj.1!K155</f>
        <v>0</v>
      </c>
      <c r="L155" s="418">
        <f>0+[1]táj.1!L155</f>
        <v>0</v>
      </c>
      <c r="M155" s="418">
        <f>0+[1]táj.1!M155</f>
        <v>0</v>
      </c>
      <c r="N155" s="418">
        <f>0+[1]táj.1!N155</f>
        <v>0</v>
      </c>
      <c r="O155" s="390">
        <f>SUM(E155:N155)</f>
        <v>16350</v>
      </c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  <c r="HA155" s="127"/>
      <c r="HB155" s="127"/>
      <c r="HC155" s="127"/>
      <c r="HD155" s="127"/>
      <c r="HE155" s="127"/>
      <c r="HF155" s="127"/>
      <c r="HG155" s="127"/>
      <c r="HH155" s="127"/>
      <c r="HI155" s="127"/>
      <c r="HJ155" s="127"/>
      <c r="HK155" s="127"/>
      <c r="HL155" s="127"/>
      <c r="HM155" s="127"/>
      <c r="HN155" s="127"/>
      <c r="HO155" s="127"/>
      <c r="HP155" s="127"/>
      <c r="HQ155" s="127"/>
      <c r="HR155" s="127"/>
      <c r="HS155" s="127"/>
      <c r="HT155" s="127"/>
      <c r="HU155" s="127"/>
      <c r="HV155" s="127"/>
      <c r="HW155" s="127"/>
      <c r="HX155" s="127"/>
      <c r="HY155" s="127"/>
      <c r="HZ155" s="127"/>
      <c r="IA155" s="127"/>
      <c r="IB155" s="127"/>
      <c r="IC155" s="127"/>
      <c r="ID155" s="127"/>
      <c r="IE155" s="127"/>
      <c r="IF155" s="127"/>
      <c r="IG155" s="127"/>
      <c r="IH155" s="127"/>
      <c r="II155" s="127"/>
      <c r="IJ155" s="127"/>
      <c r="IK155" s="127"/>
      <c r="IL155" s="127"/>
      <c r="IM155" s="127"/>
      <c r="IN155" s="127"/>
      <c r="IO155" s="127"/>
      <c r="IP155" s="127"/>
      <c r="IQ155" s="127"/>
      <c r="IR155" s="127"/>
      <c r="IS155" s="127"/>
      <c r="IT155" s="127"/>
      <c r="IU155" s="127"/>
      <c r="IV155" s="127"/>
    </row>
    <row r="156" spans="1:256" ht="25.5" x14ac:dyDescent="0.2">
      <c r="A156" s="129"/>
      <c r="B156" s="129"/>
      <c r="C156" s="406" t="s">
        <v>451</v>
      </c>
      <c r="D156" s="433"/>
      <c r="E156" s="418"/>
      <c r="F156" s="418"/>
      <c r="G156" s="418"/>
      <c r="H156" s="418"/>
      <c r="I156" s="418"/>
      <c r="J156" s="418"/>
      <c r="K156" s="418"/>
      <c r="L156" s="418"/>
      <c r="M156" s="418"/>
      <c r="N156" s="418"/>
      <c r="O156" s="390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  <c r="HA156" s="127"/>
      <c r="HB156" s="127"/>
      <c r="HC156" s="127"/>
      <c r="HD156" s="127"/>
      <c r="HE156" s="127"/>
      <c r="HF156" s="127"/>
      <c r="HG156" s="127"/>
      <c r="HH156" s="127"/>
      <c r="HI156" s="127"/>
      <c r="HJ156" s="127"/>
      <c r="HK156" s="127"/>
      <c r="HL156" s="127"/>
      <c r="HM156" s="127"/>
      <c r="HN156" s="127"/>
      <c r="HO156" s="127"/>
      <c r="HP156" s="127"/>
      <c r="HQ156" s="127"/>
      <c r="HR156" s="127"/>
      <c r="HS156" s="127"/>
      <c r="HT156" s="127"/>
      <c r="HU156" s="127"/>
      <c r="HV156" s="127"/>
      <c r="HW156" s="127"/>
      <c r="HX156" s="127"/>
      <c r="HY156" s="127"/>
      <c r="HZ156" s="127"/>
      <c r="IA156" s="127"/>
      <c r="IB156" s="127"/>
      <c r="IC156" s="127"/>
      <c r="ID156" s="127"/>
      <c r="IE156" s="127"/>
      <c r="IF156" s="127"/>
      <c r="IG156" s="127"/>
      <c r="IH156" s="127"/>
      <c r="II156" s="127"/>
      <c r="IJ156" s="127"/>
      <c r="IK156" s="127"/>
      <c r="IL156" s="127"/>
      <c r="IM156" s="127"/>
      <c r="IN156" s="127"/>
      <c r="IO156" s="127"/>
      <c r="IP156" s="127"/>
      <c r="IQ156" s="127"/>
      <c r="IR156" s="127"/>
      <c r="IS156" s="127"/>
      <c r="IT156" s="127"/>
      <c r="IU156" s="127"/>
      <c r="IV156" s="127"/>
    </row>
    <row r="157" spans="1:256" x14ac:dyDescent="0.2">
      <c r="A157" s="129"/>
      <c r="B157" s="129"/>
      <c r="C157" s="391" t="s">
        <v>1499</v>
      </c>
      <c r="D157" s="433">
        <v>191104</v>
      </c>
      <c r="E157" s="418">
        <f>0+[1]táj.1!E157</f>
        <v>0</v>
      </c>
      <c r="F157" s="418">
        <f>0+[1]táj.1!F157</f>
        <v>0</v>
      </c>
      <c r="G157" s="418">
        <f>0+[1]táj.1!G157</f>
        <v>0</v>
      </c>
      <c r="H157" s="418">
        <f>0+[1]táj.1!H157</f>
        <v>1607</v>
      </c>
      <c r="I157" s="418">
        <f>0+[1]táj.1!I157</f>
        <v>0</v>
      </c>
      <c r="J157" s="418">
        <f>0+[1]táj.1!J157</f>
        <v>0</v>
      </c>
      <c r="K157" s="418">
        <f>0+[1]táj.1!K157</f>
        <v>0</v>
      </c>
      <c r="L157" s="418">
        <f>0+[1]táj.1!L157</f>
        <v>0</v>
      </c>
      <c r="M157" s="418">
        <f>0+[1]táj.1!M157</f>
        <v>0</v>
      </c>
      <c r="N157" s="418">
        <f>0+[1]táj.1!N157</f>
        <v>0</v>
      </c>
      <c r="O157" s="390">
        <f>SUM(E157:N157)</f>
        <v>1607</v>
      </c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  <c r="HA157" s="127"/>
      <c r="HB157" s="127"/>
      <c r="HC157" s="127"/>
      <c r="HD157" s="127"/>
      <c r="HE157" s="127"/>
      <c r="HF157" s="127"/>
      <c r="HG157" s="127"/>
      <c r="HH157" s="127"/>
      <c r="HI157" s="127"/>
      <c r="HJ157" s="127"/>
      <c r="HK157" s="127"/>
      <c r="HL157" s="127"/>
      <c r="HM157" s="127"/>
      <c r="HN157" s="127"/>
      <c r="HO157" s="127"/>
      <c r="HP157" s="127"/>
      <c r="HQ157" s="127"/>
      <c r="HR157" s="127"/>
      <c r="HS157" s="127"/>
      <c r="HT157" s="127"/>
      <c r="HU157" s="127"/>
      <c r="HV157" s="127"/>
      <c r="HW157" s="127"/>
      <c r="HX157" s="127"/>
      <c r="HY157" s="127"/>
      <c r="HZ157" s="127"/>
      <c r="IA157" s="127"/>
      <c r="IB157" s="127"/>
      <c r="IC157" s="127"/>
      <c r="ID157" s="127"/>
      <c r="IE157" s="127"/>
      <c r="IF157" s="127"/>
      <c r="IG157" s="127"/>
      <c r="IH157" s="127"/>
      <c r="II157" s="127"/>
      <c r="IJ157" s="127"/>
      <c r="IK157" s="127"/>
      <c r="IL157" s="127"/>
      <c r="IM157" s="127"/>
      <c r="IN157" s="127"/>
      <c r="IO157" s="127"/>
      <c r="IP157" s="127"/>
      <c r="IQ157" s="127"/>
      <c r="IR157" s="127"/>
      <c r="IS157" s="127"/>
      <c r="IT157" s="127"/>
      <c r="IU157" s="127"/>
      <c r="IV157" s="127"/>
    </row>
    <row r="158" spans="1:256" ht="13.5" x14ac:dyDescent="0.2">
      <c r="A158" s="146"/>
      <c r="B158" s="133"/>
      <c r="C158" s="419" t="s">
        <v>544</v>
      </c>
      <c r="D158" s="431"/>
      <c r="E158" s="396">
        <f t="shared" ref="E158:O158" si="12">SUM(E125:E157)</f>
        <v>3479833</v>
      </c>
      <c r="F158" s="396">
        <f t="shared" si="12"/>
        <v>18531</v>
      </c>
      <c r="G158" s="396">
        <f t="shared" si="12"/>
        <v>5804000</v>
      </c>
      <c r="H158" s="396">
        <f t="shared" si="12"/>
        <v>116413</v>
      </c>
      <c r="I158" s="396">
        <f t="shared" si="12"/>
        <v>0</v>
      </c>
      <c r="J158" s="396">
        <f t="shared" si="12"/>
        <v>0</v>
      </c>
      <c r="K158" s="396">
        <f t="shared" si="12"/>
        <v>0</v>
      </c>
      <c r="L158" s="396">
        <f t="shared" si="12"/>
        <v>17924</v>
      </c>
      <c r="M158" s="396">
        <f t="shared" si="12"/>
        <v>1332263</v>
      </c>
      <c r="N158" s="396">
        <f t="shared" si="12"/>
        <v>12451519</v>
      </c>
      <c r="O158" s="396">
        <f t="shared" si="12"/>
        <v>23220483</v>
      </c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  <c r="HA158" s="127"/>
      <c r="HB158" s="127"/>
      <c r="HC158" s="127"/>
      <c r="HD158" s="127"/>
      <c r="HE158" s="127"/>
      <c r="HF158" s="127"/>
      <c r="HG158" s="127"/>
      <c r="HH158" s="127"/>
      <c r="HI158" s="127"/>
      <c r="HJ158" s="127"/>
      <c r="HK158" s="127"/>
      <c r="HL158" s="127"/>
      <c r="HM158" s="127"/>
      <c r="HN158" s="127"/>
      <c r="HO158" s="127"/>
      <c r="HP158" s="127"/>
      <c r="HQ158" s="127"/>
      <c r="HR158" s="127"/>
      <c r="HS158" s="127"/>
      <c r="HT158" s="127"/>
      <c r="HU158" s="127"/>
      <c r="HV158" s="127"/>
      <c r="HW158" s="127"/>
      <c r="HX158" s="127"/>
      <c r="HY158" s="127"/>
      <c r="HZ158" s="127"/>
      <c r="IA158" s="127"/>
      <c r="IB158" s="127"/>
      <c r="IC158" s="127"/>
      <c r="ID158" s="127"/>
      <c r="IE158" s="127"/>
      <c r="IF158" s="127"/>
      <c r="IG158" s="127"/>
      <c r="IH158" s="127"/>
      <c r="II158" s="127"/>
      <c r="IJ158" s="127"/>
      <c r="IK158" s="127"/>
      <c r="IL158" s="127"/>
      <c r="IM158" s="127"/>
      <c r="IN158" s="127"/>
      <c r="IO158" s="127"/>
      <c r="IP158" s="127"/>
      <c r="IQ158" s="127"/>
      <c r="IR158" s="127"/>
      <c r="IS158" s="127"/>
      <c r="IT158" s="127"/>
      <c r="IU158" s="127"/>
      <c r="IV158" s="127"/>
    </row>
    <row r="159" spans="1:256" ht="25.5" x14ac:dyDescent="0.2">
      <c r="A159" s="129">
        <v>1</v>
      </c>
      <c r="B159" s="130">
        <v>20</v>
      </c>
      <c r="C159" s="406" t="s">
        <v>451</v>
      </c>
      <c r="D159" s="421"/>
      <c r="E159" s="441"/>
      <c r="F159" s="398"/>
      <c r="G159" s="398"/>
      <c r="H159" s="398"/>
      <c r="I159" s="398"/>
      <c r="J159" s="398"/>
      <c r="K159" s="398"/>
      <c r="L159" s="398"/>
      <c r="M159" s="398"/>
      <c r="N159" s="398"/>
      <c r="O159" s="398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  <c r="HA159" s="127"/>
      <c r="HB159" s="127"/>
      <c r="HC159" s="127"/>
      <c r="HD159" s="127"/>
      <c r="HE159" s="127"/>
      <c r="HF159" s="127"/>
      <c r="HG159" s="127"/>
      <c r="HH159" s="127"/>
      <c r="HI159" s="127"/>
      <c r="HJ159" s="127"/>
      <c r="HK159" s="127"/>
      <c r="HL159" s="127"/>
      <c r="HM159" s="127"/>
      <c r="HN159" s="127"/>
      <c r="HO159" s="127"/>
      <c r="HP159" s="127"/>
      <c r="HQ159" s="127"/>
      <c r="HR159" s="127"/>
      <c r="HS159" s="127"/>
      <c r="HT159" s="127"/>
      <c r="HU159" s="127"/>
      <c r="HV159" s="127"/>
      <c r="HW159" s="127"/>
      <c r="HX159" s="127"/>
      <c r="HY159" s="127"/>
      <c r="HZ159" s="127"/>
      <c r="IA159" s="127"/>
      <c r="IB159" s="127"/>
      <c r="IC159" s="127"/>
      <c r="ID159" s="127"/>
      <c r="IE159" s="127"/>
      <c r="IF159" s="127"/>
      <c r="IG159" s="127"/>
      <c r="IH159" s="127"/>
      <c r="II159" s="127"/>
      <c r="IJ159" s="127"/>
      <c r="IK159" s="127"/>
      <c r="IL159" s="127"/>
      <c r="IM159" s="127"/>
      <c r="IN159" s="127"/>
      <c r="IO159" s="127"/>
      <c r="IP159" s="127"/>
      <c r="IQ159" s="127"/>
      <c r="IR159" s="127"/>
      <c r="IS159" s="127"/>
      <c r="IT159" s="127"/>
      <c r="IU159" s="127"/>
      <c r="IV159" s="127"/>
    </row>
    <row r="160" spans="1:256" ht="13.5" x14ac:dyDescent="0.2">
      <c r="A160" s="146"/>
      <c r="B160" s="133"/>
      <c r="C160" s="395" t="s">
        <v>545</v>
      </c>
      <c r="D160" s="445">
        <v>201901</v>
      </c>
      <c r="E160" s="446"/>
      <c r="F160" s="396"/>
      <c r="G160" s="396"/>
      <c r="H160" s="396"/>
      <c r="I160" s="396"/>
      <c r="J160" s="396"/>
      <c r="K160" s="396"/>
      <c r="L160" s="396"/>
      <c r="M160" s="396"/>
      <c r="N160" s="396"/>
      <c r="O160" s="396">
        <f>SUM(E160:N160)</f>
        <v>0</v>
      </c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  <c r="HA160" s="127"/>
      <c r="HB160" s="127"/>
      <c r="HC160" s="127"/>
      <c r="HD160" s="127"/>
      <c r="HE160" s="127"/>
      <c r="HF160" s="127"/>
      <c r="HG160" s="127"/>
      <c r="HH160" s="127"/>
      <c r="HI160" s="127"/>
      <c r="HJ160" s="127"/>
      <c r="HK160" s="127"/>
      <c r="HL160" s="127"/>
      <c r="HM160" s="127"/>
      <c r="HN160" s="127"/>
      <c r="HO160" s="127"/>
      <c r="HP160" s="127"/>
      <c r="HQ160" s="127"/>
      <c r="HR160" s="127"/>
      <c r="HS160" s="127"/>
      <c r="HT160" s="127"/>
      <c r="HU160" s="127"/>
      <c r="HV160" s="127"/>
      <c r="HW160" s="127"/>
      <c r="HX160" s="127"/>
      <c r="HY160" s="127"/>
      <c r="HZ160" s="127"/>
      <c r="IA160" s="127"/>
      <c r="IB160" s="127"/>
      <c r="IC160" s="127"/>
      <c r="ID160" s="127"/>
      <c r="IE160" s="127"/>
      <c r="IF160" s="127"/>
      <c r="IG160" s="127"/>
      <c r="IH160" s="127"/>
      <c r="II160" s="127"/>
      <c r="IJ160" s="127"/>
      <c r="IK160" s="127"/>
      <c r="IL160" s="127"/>
      <c r="IM160" s="127"/>
      <c r="IN160" s="127"/>
      <c r="IO160" s="127"/>
      <c r="IP160" s="127"/>
      <c r="IQ160" s="127"/>
      <c r="IR160" s="127"/>
      <c r="IS160" s="127"/>
      <c r="IT160" s="127"/>
      <c r="IU160" s="127"/>
      <c r="IV160" s="127"/>
    </row>
    <row r="161" spans="1:256" ht="13.5" x14ac:dyDescent="0.2">
      <c r="A161" s="129">
        <v>1</v>
      </c>
      <c r="B161" s="130">
        <v>22</v>
      </c>
      <c r="C161" s="384" t="s">
        <v>136</v>
      </c>
      <c r="D161" s="385"/>
      <c r="E161" s="398"/>
      <c r="F161" s="398"/>
      <c r="G161" s="398"/>
      <c r="H161" s="398"/>
      <c r="I161" s="398"/>
      <c r="J161" s="398"/>
      <c r="K161" s="398"/>
      <c r="L161" s="398"/>
      <c r="M161" s="398"/>
      <c r="N161" s="398"/>
      <c r="O161" s="398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  <c r="HA161" s="127"/>
      <c r="HB161" s="127"/>
      <c r="HC161" s="127"/>
      <c r="HD161" s="127"/>
      <c r="HE161" s="127"/>
      <c r="HF161" s="127"/>
      <c r="HG161" s="127"/>
      <c r="HH161" s="127"/>
      <c r="HI161" s="127"/>
      <c r="HJ161" s="127"/>
      <c r="HK161" s="127"/>
      <c r="HL161" s="127"/>
      <c r="HM161" s="127"/>
      <c r="HN161" s="127"/>
      <c r="HO161" s="127"/>
      <c r="HP161" s="127"/>
      <c r="HQ161" s="127"/>
      <c r="HR161" s="127"/>
      <c r="HS161" s="127"/>
      <c r="HT161" s="127"/>
      <c r="HU161" s="127"/>
      <c r="HV161" s="127"/>
      <c r="HW161" s="127"/>
      <c r="HX161" s="127"/>
      <c r="HY161" s="127"/>
      <c r="HZ161" s="127"/>
      <c r="IA161" s="127"/>
      <c r="IB161" s="127"/>
      <c r="IC161" s="127"/>
      <c r="ID161" s="127"/>
      <c r="IE161" s="127"/>
      <c r="IF161" s="127"/>
      <c r="IG161" s="127"/>
      <c r="IH161" s="127"/>
      <c r="II161" s="127"/>
      <c r="IJ161" s="127"/>
      <c r="IK161" s="127"/>
      <c r="IL161" s="127"/>
      <c r="IM161" s="127"/>
      <c r="IN161" s="127"/>
      <c r="IO161" s="127"/>
      <c r="IP161" s="127"/>
      <c r="IQ161" s="127"/>
      <c r="IR161" s="127"/>
      <c r="IS161" s="127"/>
      <c r="IT161" s="127"/>
      <c r="IU161" s="127"/>
      <c r="IV161" s="127"/>
    </row>
    <row r="162" spans="1:256" ht="13.5" x14ac:dyDescent="0.2">
      <c r="A162" s="129"/>
      <c r="B162" s="130"/>
      <c r="C162" s="143" t="s">
        <v>416</v>
      </c>
      <c r="D162" s="385"/>
      <c r="E162" s="398"/>
      <c r="F162" s="398"/>
      <c r="G162" s="398"/>
      <c r="H162" s="398"/>
      <c r="I162" s="398"/>
      <c r="J162" s="398"/>
      <c r="K162" s="398"/>
      <c r="L162" s="398"/>
      <c r="M162" s="398"/>
      <c r="N162" s="398"/>
      <c r="O162" s="398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  <c r="HA162" s="127"/>
      <c r="HB162" s="127"/>
      <c r="HC162" s="127"/>
      <c r="HD162" s="127"/>
      <c r="HE162" s="127"/>
      <c r="HF162" s="127"/>
      <c r="HG162" s="127"/>
      <c r="HH162" s="127"/>
      <c r="HI162" s="127"/>
      <c r="HJ162" s="127"/>
      <c r="HK162" s="127"/>
      <c r="HL162" s="127"/>
      <c r="HM162" s="127"/>
      <c r="HN162" s="127"/>
      <c r="HO162" s="127"/>
      <c r="HP162" s="127"/>
      <c r="HQ162" s="127"/>
      <c r="HR162" s="127"/>
      <c r="HS162" s="127"/>
      <c r="HT162" s="127"/>
      <c r="HU162" s="127"/>
      <c r="HV162" s="127"/>
      <c r="HW162" s="127"/>
      <c r="HX162" s="127"/>
      <c r="HY162" s="127"/>
      <c r="HZ162" s="127"/>
      <c r="IA162" s="127"/>
      <c r="IB162" s="127"/>
      <c r="IC162" s="127"/>
      <c r="ID162" s="127"/>
      <c r="IE162" s="127"/>
      <c r="IF162" s="127"/>
      <c r="IG162" s="127"/>
      <c r="IH162" s="127"/>
      <c r="II162" s="127"/>
      <c r="IJ162" s="127"/>
      <c r="IK162" s="127"/>
      <c r="IL162" s="127"/>
      <c r="IM162" s="127"/>
      <c r="IN162" s="127"/>
      <c r="IO162" s="127"/>
      <c r="IP162" s="127"/>
      <c r="IQ162" s="127"/>
      <c r="IR162" s="127"/>
      <c r="IS162" s="127"/>
      <c r="IT162" s="127"/>
      <c r="IU162" s="127"/>
      <c r="IV162" s="127"/>
    </row>
    <row r="163" spans="1:256" ht="13.5" x14ac:dyDescent="0.2">
      <c r="A163" s="129"/>
      <c r="B163" s="130"/>
      <c r="C163" s="247" t="s">
        <v>1356</v>
      </c>
      <c r="D163" s="454">
        <v>221901</v>
      </c>
      <c r="E163" s="454">
        <f>0+[1]táj.1!E163</f>
        <v>0</v>
      </c>
      <c r="F163" s="454">
        <f>0+[1]táj.1!F163</f>
        <v>0</v>
      </c>
      <c r="G163" s="454">
        <f>0+[1]táj.1!G163</f>
        <v>0</v>
      </c>
      <c r="H163" s="454">
        <f>15748+[1]táj.1!H163</f>
        <v>15748</v>
      </c>
      <c r="I163" s="454">
        <f>0+[1]táj.1!I163</f>
        <v>0</v>
      </c>
      <c r="J163" s="454">
        <f>0+[1]táj.1!J163</f>
        <v>0</v>
      </c>
      <c r="K163" s="454">
        <f>0+[1]táj.1!K163</f>
        <v>0</v>
      </c>
      <c r="L163" s="454">
        <f>0+[1]táj.1!L163</f>
        <v>0</v>
      </c>
      <c r="M163" s="454">
        <f>0+[1]táj.1!M163</f>
        <v>0</v>
      </c>
      <c r="N163" s="454">
        <f>0+[1]táj.1!N163</f>
        <v>0</v>
      </c>
      <c r="O163" s="454">
        <f>SUM(E163:N163)</f>
        <v>15748</v>
      </c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  <c r="HA163" s="127"/>
      <c r="HB163" s="127"/>
      <c r="HC163" s="127"/>
      <c r="HD163" s="127"/>
      <c r="HE163" s="127"/>
      <c r="HF163" s="127"/>
      <c r="HG163" s="127"/>
      <c r="HH163" s="127"/>
      <c r="HI163" s="127"/>
      <c r="HJ163" s="127"/>
      <c r="HK163" s="127"/>
      <c r="HL163" s="127"/>
      <c r="HM163" s="127"/>
      <c r="HN163" s="127"/>
      <c r="HO163" s="127"/>
      <c r="HP163" s="127"/>
      <c r="HQ163" s="127"/>
      <c r="HR163" s="127"/>
      <c r="HS163" s="127"/>
      <c r="HT163" s="127"/>
      <c r="HU163" s="127"/>
      <c r="HV163" s="127"/>
      <c r="HW163" s="127"/>
      <c r="HX163" s="127"/>
      <c r="HY163" s="127"/>
      <c r="HZ163" s="127"/>
      <c r="IA163" s="127"/>
      <c r="IB163" s="127"/>
      <c r="IC163" s="127"/>
      <c r="ID163" s="127"/>
      <c r="IE163" s="127"/>
      <c r="IF163" s="127"/>
      <c r="IG163" s="127"/>
      <c r="IH163" s="127"/>
      <c r="II163" s="127"/>
      <c r="IJ163" s="127"/>
      <c r="IK163" s="127"/>
      <c r="IL163" s="127"/>
      <c r="IM163" s="127"/>
      <c r="IN163" s="127"/>
      <c r="IO163" s="127"/>
      <c r="IP163" s="127"/>
      <c r="IQ163" s="127"/>
      <c r="IR163" s="127"/>
      <c r="IS163" s="127"/>
      <c r="IT163" s="127"/>
      <c r="IU163" s="127"/>
      <c r="IV163" s="127"/>
    </row>
    <row r="164" spans="1:256" ht="13.5" x14ac:dyDescent="0.2">
      <c r="A164" s="129"/>
      <c r="B164" s="130"/>
      <c r="C164" s="247" t="s">
        <v>1363</v>
      </c>
      <c r="D164" s="129">
        <v>221927</v>
      </c>
      <c r="E164" s="454">
        <f>0+[1]táj.1!E164</f>
        <v>210</v>
      </c>
      <c r="F164" s="454">
        <f>0+[1]táj.1!F164</f>
        <v>0</v>
      </c>
      <c r="G164" s="454">
        <f>0+[1]táj.1!G164</f>
        <v>0</v>
      </c>
      <c r="H164" s="454">
        <f>0+[1]táj.1!H164</f>
        <v>0</v>
      </c>
      <c r="I164" s="454">
        <f>0+[1]táj.1!I164</f>
        <v>0</v>
      </c>
      <c r="J164" s="454">
        <f>0+[1]táj.1!J164</f>
        <v>0</v>
      </c>
      <c r="K164" s="454">
        <f>0+[1]táj.1!K164</f>
        <v>0</v>
      </c>
      <c r="L164" s="454">
        <f>0+[1]táj.1!L164</f>
        <v>0</v>
      </c>
      <c r="M164" s="454">
        <f>0+[1]táj.1!M164</f>
        <v>0</v>
      </c>
      <c r="N164" s="454">
        <f>0+[1]táj.1!N164</f>
        <v>0</v>
      </c>
      <c r="O164" s="454">
        <f>SUM(E164:N164)</f>
        <v>210</v>
      </c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  <c r="HA164" s="127"/>
      <c r="HB164" s="127"/>
      <c r="HC164" s="127"/>
      <c r="HD164" s="127"/>
      <c r="HE164" s="127"/>
      <c r="HF164" s="127"/>
      <c r="HG164" s="127"/>
      <c r="HH164" s="127"/>
      <c r="HI164" s="127"/>
      <c r="HJ164" s="127"/>
      <c r="HK164" s="127"/>
      <c r="HL164" s="127"/>
      <c r="HM164" s="127"/>
      <c r="HN164" s="127"/>
      <c r="HO164" s="127"/>
      <c r="HP164" s="127"/>
      <c r="HQ164" s="127"/>
      <c r="HR164" s="127"/>
      <c r="HS164" s="127"/>
      <c r="HT164" s="127"/>
      <c r="HU164" s="127"/>
      <c r="HV164" s="127"/>
      <c r="HW164" s="127"/>
      <c r="HX164" s="127"/>
      <c r="HY164" s="127"/>
      <c r="HZ164" s="127"/>
      <c r="IA164" s="127"/>
      <c r="IB164" s="127"/>
      <c r="IC164" s="127"/>
      <c r="ID164" s="127"/>
      <c r="IE164" s="127"/>
      <c r="IF164" s="127"/>
      <c r="IG164" s="127"/>
      <c r="IH164" s="127"/>
      <c r="II164" s="127"/>
      <c r="IJ164" s="127"/>
      <c r="IK164" s="127"/>
      <c r="IL164" s="127"/>
      <c r="IM164" s="127"/>
      <c r="IN164" s="127"/>
      <c r="IO164" s="127"/>
      <c r="IP164" s="127"/>
      <c r="IQ164" s="127"/>
      <c r="IR164" s="127"/>
      <c r="IS164" s="127"/>
      <c r="IT164" s="127"/>
      <c r="IU164" s="127"/>
      <c r="IV164" s="127"/>
    </row>
    <row r="165" spans="1:256" ht="25.5" x14ac:dyDescent="0.2">
      <c r="A165" s="129"/>
      <c r="B165" s="130"/>
      <c r="C165" s="409" t="s">
        <v>438</v>
      </c>
      <c r="D165" s="385"/>
      <c r="E165" s="454"/>
      <c r="F165" s="454"/>
      <c r="G165" s="454"/>
      <c r="H165" s="454"/>
      <c r="I165" s="454"/>
      <c r="J165" s="454"/>
      <c r="K165" s="454"/>
      <c r="L165" s="454"/>
      <c r="M165" s="454"/>
      <c r="N165" s="454"/>
      <c r="O165" s="454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  <c r="HA165" s="127"/>
      <c r="HB165" s="127"/>
      <c r="HC165" s="127"/>
      <c r="HD165" s="127"/>
      <c r="HE165" s="127"/>
      <c r="HF165" s="127"/>
      <c r="HG165" s="127"/>
      <c r="HH165" s="127"/>
      <c r="HI165" s="127"/>
      <c r="HJ165" s="127"/>
      <c r="HK165" s="127"/>
      <c r="HL165" s="127"/>
      <c r="HM165" s="127"/>
      <c r="HN165" s="127"/>
      <c r="HO165" s="127"/>
      <c r="HP165" s="127"/>
      <c r="HQ165" s="127"/>
      <c r="HR165" s="127"/>
      <c r="HS165" s="127"/>
      <c r="HT165" s="127"/>
      <c r="HU165" s="127"/>
      <c r="HV165" s="127"/>
      <c r="HW165" s="127"/>
      <c r="HX165" s="127"/>
      <c r="HY165" s="127"/>
      <c r="HZ165" s="127"/>
      <c r="IA165" s="127"/>
      <c r="IB165" s="127"/>
      <c r="IC165" s="127"/>
      <c r="ID165" s="127"/>
      <c r="IE165" s="127"/>
      <c r="IF165" s="127"/>
      <c r="IG165" s="127"/>
      <c r="IH165" s="127"/>
      <c r="II165" s="127"/>
      <c r="IJ165" s="127"/>
      <c r="IK165" s="127"/>
      <c r="IL165" s="127"/>
      <c r="IM165" s="127"/>
      <c r="IN165" s="127"/>
      <c r="IO165" s="127"/>
      <c r="IP165" s="127"/>
      <c r="IQ165" s="127"/>
      <c r="IR165" s="127"/>
      <c r="IS165" s="127"/>
      <c r="IT165" s="127"/>
      <c r="IU165" s="127"/>
      <c r="IV165" s="127"/>
    </row>
    <row r="166" spans="1:256" ht="25.5" x14ac:dyDescent="0.2">
      <c r="A166" s="129"/>
      <c r="B166" s="130"/>
      <c r="C166" s="141" t="s">
        <v>61</v>
      </c>
      <c r="D166" s="129">
        <v>221956</v>
      </c>
      <c r="E166" s="454">
        <f>7000+[1]táj.1!E166</f>
        <v>7000</v>
      </c>
      <c r="F166" s="454">
        <f>0+[1]táj.1!F166</f>
        <v>0</v>
      </c>
      <c r="G166" s="454">
        <f>0+[1]táj.1!G166</f>
        <v>0</v>
      </c>
      <c r="H166" s="454">
        <f>0+[1]táj.1!H166</f>
        <v>0</v>
      </c>
      <c r="I166" s="454">
        <f>0+[1]táj.1!I166</f>
        <v>0</v>
      </c>
      <c r="J166" s="454">
        <f>0+[1]táj.1!J166</f>
        <v>0</v>
      </c>
      <c r="K166" s="454">
        <f>0+[1]táj.1!K166</f>
        <v>0</v>
      </c>
      <c r="L166" s="454">
        <f>0+[1]táj.1!L166</f>
        <v>0</v>
      </c>
      <c r="M166" s="454">
        <f>0+[1]táj.1!M166</f>
        <v>0</v>
      </c>
      <c r="N166" s="454">
        <f>0+[1]táj.1!N166</f>
        <v>0</v>
      </c>
      <c r="O166" s="454">
        <f>SUM(E166:N166)</f>
        <v>7000</v>
      </c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  <c r="HA166" s="127"/>
      <c r="HB166" s="127"/>
      <c r="HC166" s="127"/>
      <c r="HD166" s="127"/>
      <c r="HE166" s="127"/>
      <c r="HF166" s="127"/>
      <c r="HG166" s="127"/>
      <c r="HH166" s="127"/>
      <c r="HI166" s="127"/>
      <c r="HJ166" s="127"/>
      <c r="HK166" s="127"/>
      <c r="HL166" s="127"/>
      <c r="HM166" s="127"/>
      <c r="HN166" s="127"/>
      <c r="HO166" s="127"/>
      <c r="HP166" s="127"/>
      <c r="HQ166" s="127"/>
      <c r="HR166" s="127"/>
      <c r="HS166" s="127"/>
      <c r="HT166" s="127"/>
      <c r="HU166" s="127"/>
      <c r="HV166" s="127"/>
      <c r="HW166" s="127"/>
      <c r="HX166" s="127"/>
      <c r="HY166" s="127"/>
      <c r="HZ166" s="127"/>
      <c r="IA166" s="127"/>
      <c r="IB166" s="127"/>
      <c r="IC166" s="127"/>
      <c r="ID166" s="127"/>
      <c r="IE166" s="127"/>
      <c r="IF166" s="127"/>
      <c r="IG166" s="127"/>
      <c r="IH166" s="127"/>
      <c r="II166" s="127"/>
      <c r="IJ166" s="127"/>
      <c r="IK166" s="127"/>
      <c r="IL166" s="127"/>
      <c r="IM166" s="127"/>
      <c r="IN166" s="127"/>
      <c r="IO166" s="127"/>
      <c r="IP166" s="127"/>
      <c r="IQ166" s="127"/>
      <c r="IR166" s="127"/>
      <c r="IS166" s="127"/>
      <c r="IT166" s="127"/>
      <c r="IU166" s="127"/>
      <c r="IV166" s="127"/>
    </row>
    <row r="167" spans="1:256" ht="25.5" x14ac:dyDescent="0.2">
      <c r="A167" s="129"/>
      <c r="B167" s="130"/>
      <c r="C167" s="141" t="s">
        <v>1420</v>
      </c>
      <c r="D167" s="129">
        <v>221942</v>
      </c>
      <c r="E167" s="454">
        <f>2000+[1]táj.1!E167</f>
        <v>2000</v>
      </c>
      <c r="F167" s="454">
        <f>0+[1]táj.1!F167</f>
        <v>0</v>
      </c>
      <c r="G167" s="454">
        <f>0+[1]táj.1!G167</f>
        <v>0</v>
      </c>
      <c r="H167" s="454">
        <f>0+[1]táj.1!H167</f>
        <v>0</v>
      </c>
      <c r="I167" s="454">
        <f>0+[1]táj.1!I167</f>
        <v>0</v>
      </c>
      <c r="J167" s="454">
        <f>0+[1]táj.1!J167</f>
        <v>0</v>
      </c>
      <c r="K167" s="454">
        <f>0+[1]táj.1!K167</f>
        <v>0</v>
      </c>
      <c r="L167" s="454">
        <f>0+[1]táj.1!L167</f>
        <v>0</v>
      </c>
      <c r="M167" s="454">
        <f>0+[1]táj.1!M167</f>
        <v>0</v>
      </c>
      <c r="N167" s="454">
        <f>0+[1]táj.1!N167</f>
        <v>0</v>
      </c>
      <c r="O167" s="454">
        <f>SUM(E167:N167)</f>
        <v>2000</v>
      </c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  <c r="HA167" s="127"/>
      <c r="HB167" s="127"/>
      <c r="HC167" s="127"/>
      <c r="HD167" s="127"/>
      <c r="HE167" s="127"/>
      <c r="HF167" s="127"/>
      <c r="HG167" s="127"/>
      <c r="HH167" s="127"/>
      <c r="HI167" s="127"/>
      <c r="HJ167" s="127"/>
      <c r="HK167" s="127"/>
      <c r="HL167" s="127"/>
      <c r="HM167" s="127"/>
      <c r="HN167" s="127"/>
      <c r="HO167" s="127"/>
      <c r="HP167" s="127"/>
      <c r="HQ167" s="127"/>
      <c r="HR167" s="127"/>
      <c r="HS167" s="127"/>
      <c r="HT167" s="127"/>
      <c r="HU167" s="127"/>
      <c r="HV167" s="127"/>
      <c r="HW167" s="127"/>
      <c r="HX167" s="127"/>
      <c r="HY167" s="127"/>
      <c r="HZ167" s="127"/>
      <c r="IA167" s="127"/>
      <c r="IB167" s="127"/>
      <c r="IC167" s="127"/>
      <c r="ID167" s="127"/>
      <c r="IE167" s="127"/>
      <c r="IF167" s="127"/>
      <c r="IG167" s="127"/>
      <c r="IH167" s="127"/>
      <c r="II167" s="127"/>
      <c r="IJ167" s="127"/>
      <c r="IK167" s="127"/>
      <c r="IL167" s="127"/>
      <c r="IM167" s="127"/>
      <c r="IN167" s="127"/>
      <c r="IO167" s="127"/>
      <c r="IP167" s="127"/>
      <c r="IQ167" s="127"/>
      <c r="IR167" s="127"/>
      <c r="IS167" s="127"/>
      <c r="IT167" s="127"/>
      <c r="IU167" s="127"/>
      <c r="IV167" s="127"/>
    </row>
    <row r="168" spans="1:256" ht="13.5" x14ac:dyDescent="0.2">
      <c r="A168" s="129"/>
      <c r="B168" s="130"/>
      <c r="C168" s="141" t="s">
        <v>62</v>
      </c>
      <c r="D168" s="129" t="s">
        <v>63</v>
      </c>
      <c r="E168" s="454">
        <f>250+[1]táj.1!E168</f>
        <v>250</v>
      </c>
      <c r="F168" s="454">
        <f>0+[1]táj.1!F168</f>
        <v>0</v>
      </c>
      <c r="G168" s="454">
        <f>0+[1]táj.1!G168</f>
        <v>0</v>
      </c>
      <c r="H168" s="454">
        <f>0+[1]táj.1!H168</f>
        <v>0</v>
      </c>
      <c r="I168" s="454">
        <f>0+[1]táj.1!I168</f>
        <v>0</v>
      </c>
      <c r="J168" s="454">
        <f>50+[1]táj.1!J168</f>
        <v>50</v>
      </c>
      <c r="K168" s="454">
        <f>0+[1]táj.1!K168</f>
        <v>0</v>
      </c>
      <c r="L168" s="454">
        <f>0+[1]táj.1!L168</f>
        <v>0</v>
      </c>
      <c r="M168" s="454">
        <f>0+[1]táj.1!M168</f>
        <v>0</v>
      </c>
      <c r="N168" s="454">
        <f>0+[1]táj.1!N168</f>
        <v>0</v>
      </c>
      <c r="O168" s="454">
        <f>SUM(E168:N168)</f>
        <v>300</v>
      </c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  <c r="HA168" s="127"/>
      <c r="HB168" s="127"/>
      <c r="HC168" s="127"/>
      <c r="HD168" s="127"/>
      <c r="HE168" s="127"/>
      <c r="HF168" s="127"/>
      <c r="HG168" s="127"/>
      <c r="HH168" s="127"/>
      <c r="HI168" s="127"/>
      <c r="HJ168" s="127"/>
      <c r="HK168" s="127"/>
      <c r="HL168" s="127"/>
      <c r="HM168" s="127"/>
      <c r="HN168" s="127"/>
      <c r="HO168" s="127"/>
      <c r="HP168" s="127"/>
      <c r="HQ168" s="127"/>
      <c r="HR168" s="127"/>
      <c r="HS168" s="127"/>
      <c r="HT168" s="127"/>
      <c r="HU168" s="127"/>
      <c r="HV168" s="127"/>
      <c r="HW168" s="127"/>
      <c r="HX168" s="127"/>
      <c r="HY168" s="127"/>
      <c r="HZ168" s="127"/>
      <c r="IA168" s="127"/>
      <c r="IB168" s="127"/>
      <c r="IC168" s="127"/>
      <c r="ID168" s="127"/>
      <c r="IE168" s="127"/>
      <c r="IF168" s="127"/>
      <c r="IG168" s="127"/>
      <c r="IH168" s="127"/>
      <c r="II168" s="127"/>
      <c r="IJ168" s="127"/>
      <c r="IK168" s="127"/>
      <c r="IL168" s="127"/>
      <c r="IM168" s="127"/>
      <c r="IN168" s="127"/>
      <c r="IO168" s="127"/>
      <c r="IP168" s="127"/>
      <c r="IQ168" s="127"/>
      <c r="IR168" s="127"/>
      <c r="IS168" s="127"/>
      <c r="IT168" s="127"/>
      <c r="IU168" s="127"/>
      <c r="IV168" s="127"/>
    </row>
    <row r="169" spans="1:256" ht="13.5" x14ac:dyDescent="0.2">
      <c r="A169" s="146"/>
      <c r="B169" s="133"/>
      <c r="C169" s="419" t="s">
        <v>546</v>
      </c>
      <c r="D169" s="431"/>
      <c r="E169" s="396">
        <f t="shared" ref="E169:O169" si="13">SUM(E161:E168)</f>
        <v>9460</v>
      </c>
      <c r="F169" s="396">
        <f t="shared" si="13"/>
        <v>0</v>
      </c>
      <c r="G169" s="396">
        <f t="shared" si="13"/>
        <v>0</v>
      </c>
      <c r="H169" s="396">
        <f t="shared" si="13"/>
        <v>15748</v>
      </c>
      <c r="I169" s="396">
        <f t="shared" si="13"/>
        <v>0</v>
      </c>
      <c r="J169" s="396">
        <f t="shared" si="13"/>
        <v>50</v>
      </c>
      <c r="K169" s="396">
        <f t="shared" si="13"/>
        <v>0</v>
      </c>
      <c r="L169" s="396">
        <f t="shared" si="13"/>
        <v>0</v>
      </c>
      <c r="M169" s="396">
        <f t="shared" si="13"/>
        <v>0</v>
      </c>
      <c r="N169" s="396">
        <f t="shared" si="13"/>
        <v>0</v>
      </c>
      <c r="O169" s="396">
        <f t="shared" si="13"/>
        <v>25258</v>
      </c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  <c r="HA169" s="127"/>
      <c r="HB169" s="127"/>
      <c r="HC169" s="127"/>
      <c r="HD169" s="127"/>
      <c r="HE169" s="127"/>
      <c r="HF169" s="127"/>
      <c r="HG169" s="127"/>
      <c r="HH169" s="127"/>
      <c r="HI169" s="127"/>
      <c r="HJ169" s="127"/>
      <c r="HK169" s="127"/>
      <c r="HL169" s="127"/>
      <c r="HM169" s="127"/>
      <c r="HN169" s="127"/>
      <c r="HO169" s="127"/>
      <c r="HP169" s="127"/>
      <c r="HQ169" s="127"/>
      <c r="HR169" s="127"/>
      <c r="HS169" s="127"/>
      <c r="HT169" s="127"/>
      <c r="HU169" s="127"/>
      <c r="HV169" s="127"/>
      <c r="HW169" s="127"/>
      <c r="HX169" s="127"/>
      <c r="HY169" s="127"/>
      <c r="HZ169" s="127"/>
      <c r="IA169" s="127"/>
      <c r="IB169" s="127"/>
      <c r="IC169" s="127"/>
      <c r="ID169" s="127"/>
      <c r="IE169" s="127"/>
      <c r="IF169" s="127"/>
      <c r="IG169" s="127"/>
      <c r="IH169" s="127"/>
      <c r="II169" s="127"/>
      <c r="IJ169" s="127"/>
      <c r="IK169" s="127"/>
      <c r="IL169" s="127"/>
      <c r="IM169" s="127"/>
      <c r="IN169" s="127"/>
      <c r="IO169" s="127"/>
      <c r="IP169" s="127"/>
      <c r="IQ169" s="127"/>
      <c r="IR169" s="127"/>
      <c r="IS169" s="127"/>
      <c r="IT169" s="127"/>
      <c r="IU169" s="127"/>
      <c r="IV169" s="127"/>
    </row>
    <row r="170" spans="1:256" ht="27" x14ac:dyDescent="0.2">
      <c r="A170" s="133"/>
      <c r="B170" s="133"/>
      <c r="C170" s="447" t="s">
        <v>139</v>
      </c>
      <c r="D170" s="448"/>
      <c r="E170" s="396">
        <f t="shared" ref="E170:O170" si="14">SUM(E8+E18+E22+E36+E89+E114+E123+E158+E160+E169)</f>
        <v>3655629</v>
      </c>
      <c r="F170" s="396">
        <f t="shared" si="14"/>
        <v>9429125</v>
      </c>
      <c r="G170" s="396">
        <f t="shared" si="14"/>
        <v>5807000</v>
      </c>
      <c r="H170" s="396">
        <f t="shared" si="14"/>
        <v>5774377</v>
      </c>
      <c r="I170" s="396">
        <f t="shared" si="14"/>
        <v>78955</v>
      </c>
      <c r="J170" s="396">
        <f t="shared" si="14"/>
        <v>17972</v>
      </c>
      <c r="K170" s="396">
        <f t="shared" si="14"/>
        <v>4000</v>
      </c>
      <c r="L170" s="396">
        <f t="shared" si="14"/>
        <v>150000</v>
      </c>
      <c r="M170" s="396">
        <f t="shared" si="14"/>
        <v>16716230</v>
      </c>
      <c r="N170" s="396">
        <f t="shared" si="14"/>
        <v>20889002</v>
      </c>
      <c r="O170" s="396">
        <f t="shared" si="14"/>
        <v>62522290</v>
      </c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  <c r="HA170" s="127"/>
      <c r="HB170" s="127"/>
      <c r="HC170" s="127"/>
      <c r="HD170" s="127"/>
      <c r="HE170" s="127"/>
      <c r="HF170" s="127"/>
      <c r="HG170" s="127"/>
      <c r="HH170" s="127"/>
      <c r="HI170" s="127"/>
      <c r="HJ170" s="127"/>
      <c r="HK170" s="127"/>
      <c r="HL170" s="127"/>
      <c r="HM170" s="127"/>
      <c r="HN170" s="127"/>
      <c r="HO170" s="127"/>
      <c r="HP170" s="127"/>
      <c r="HQ170" s="127"/>
      <c r="HR170" s="127"/>
      <c r="HS170" s="127"/>
      <c r="HT170" s="127"/>
      <c r="HU170" s="127"/>
      <c r="HV170" s="127"/>
      <c r="HW170" s="127"/>
      <c r="HX170" s="127"/>
      <c r="HY170" s="127"/>
      <c r="HZ170" s="127"/>
      <c r="IA170" s="127"/>
      <c r="IB170" s="127"/>
      <c r="IC170" s="127"/>
      <c r="ID170" s="127"/>
      <c r="IE170" s="127"/>
      <c r="IF170" s="127"/>
      <c r="IG170" s="127"/>
      <c r="IH170" s="127"/>
      <c r="II170" s="127"/>
      <c r="IJ170" s="127"/>
      <c r="IK170" s="127"/>
      <c r="IL170" s="127"/>
      <c r="IM170" s="127"/>
      <c r="IN170" s="127"/>
      <c r="IO170" s="127"/>
      <c r="IP170" s="127"/>
      <c r="IQ170" s="127"/>
      <c r="IR170" s="127"/>
      <c r="IS170" s="127"/>
      <c r="IT170" s="127"/>
      <c r="IU170" s="127"/>
      <c r="IV170" s="127"/>
    </row>
    <row r="171" spans="1:256" x14ac:dyDescent="0.2">
      <c r="A171" s="129">
        <v>2</v>
      </c>
      <c r="B171" s="129"/>
      <c r="C171" s="726" t="s">
        <v>314</v>
      </c>
      <c r="D171" s="388"/>
      <c r="E171" s="390">
        <f>'[1]7'!E21</f>
        <v>991879</v>
      </c>
      <c r="F171" s="390">
        <f>'[1]7'!F21</f>
        <v>4760</v>
      </c>
      <c r="G171" s="390">
        <f>'[1]7'!G21</f>
        <v>0</v>
      </c>
      <c r="H171" s="390">
        <f>'[1]7'!H21</f>
        <v>1262294</v>
      </c>
      <c r="I171" s="390">
        <f>'[1]7'!I21</f>
        <v>51</v>
      </c>
      <c r="J171" s="390">
        <f>'[1]7'!J21</f>
        <v>250</v>
      </c>
      <c r="K171" s="390">
        <f>'[1]7'!K21</f>
        <v>0</v>
      </c>
      <c r="L171" s="390"/>
      <c r="M171" s="390">
        <f>'[1]7'!L21</f>
        <v>571197</v>
      </c>
      <c r="N171" s="390"/>
      <c r="O171" s="390">
        <f>SUM(E171:N171)</f>
        <v>2830431</v>
      </c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  <c r="HA171" s="127"/>
      <c r="HB171" s="127"/>
      <c r="HC171" s="127"/>
      <c r="HD171" s="127"/>
      <c r="HE171" s="127"/>
      <c r="HF171" s="127"/>
      <c r="HG171" s="127"/>
      <c r="HH171" s="127"/>
      <c r="HI171" s="127"/>
      <c r="HJ171" s="127"/>
      <c r="HK171" s="127"/>
      <c r="HL171" s="127"/>
      <c r="HM171" s="127"/>
      <c r="HN171" s="127"/>
      <c r="HO171" s="127"/>
      <c r="HP171" s="127"/>
      <c r="HQ171" s="127"/>
      <c r="HR171" s="127"/>
      <c r="HS171" s="127"/>
      <c r="HT171" s="127"/>
      <c r="HU171" s="127"/>
      <c r="HV171" s="127"/>
      <c r="HW171" s="127"/>
      <c r="HX171" s="127"/>
      <c r="HY171" s="127"/>
      <c r="HZ171" s="127"/>
      <c r="IA171" s="127"/>
      <c r="IB171" s="127"/>
      <c r="IC171" s="127"/>
      <c r="ID171" s="127"/>
      <c r="IE171" s="127"/>
      <c r="IF171" s="127"/>
      <c r="IG171" s="127"/>
      <c r="IH171" s="127"/>
      <c r="II171" s="127"/>
      <c r="IJ171" s="127"/>
      <c r="IK171" s="127"/>
      <c r="IL171" s="127"/>
      <c r="IM171" s="127"/>
      <c r="IN171" s="127"/>
      <c r="IO171" s="127"/>
      <c r="IP171" s="127"/>
      <c r="IQ171" s="127"/>
      <c r="IR171" s="127"/>
      <c r="IS171" s="127"/>
      <c r="IT171" s="127"/>
      <c r="IU171" s="127"/>
      <c r="IV171" s="127"/>
    </row>
    <row r="172" spans="1:256" ht="13.5" x14ac:dyDescent="0.2">
      <c r="A172" s="133"/>
      <c r="B172" s="133"/>
      <c r="C172" s="449" t="s">
        <v>304</v>
      </c>
      <c r="D172" s="431"/>
      <c r="E172" s="396">
        <f t="shared" ref="E172:O172" si="15">SUM(E170:E171)+E159</f>
        <v>4647508</v>
      </c>
      <c r="F172" s="396">
        <f t="shared" si="15"/>
        <v>9433885</v>
      </c>
      <c r="G172" s="396">
        <f t="shared" si="15"/>
        <v>5807000</v>
      </c>
      <c r="H172" s="396">
        <f t="shared" si="15"/>
        <v>7036671</v>
      </c>
      <c r="I172" s="396">
        <f t="shared" si="15"/>
        <v>79006</v>
      </c>
      <c r="J172" s="396">
        <f t="shared" si="15"/>
        <v>18222</v>
      </c>
      <c r="K172" s="396">
        <f t="shared" si="15"/>
        <v>4000</v>
      </c>
      <c r="L172" s="396">
        <f t="shared" si="15"/>
        <v>150000</v>
      </c>
      <c r="M172" s="396">
        <f t="shared" si="15"/>
        <v>17287427</v>
      </c>
      <c r="N172" s="396">
        <f t="shared" si="15"/>
        <v>20889002</v>
      </c>
      <c r="O172" s="396">
        <f t="shared" si="15"/>
        <v>65352721</v>
      </c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  <c r="HA172" s="127"/>
      <c r="HB172" s="127"/>
      <c r="HC172" s="127"/>
      <c r="HD172" s="127"/>
      <c r="HE172" s="127"/>
      <c r="HF172" s="127"/>
      <c r="HG172" s="127"/>
      <c r="HH172" s="127"/>
      <c r="HI172" s="127"/>
      <c r="HJ172" s="127"/>
      <c r="HK172" s="127"/>
      <c r="HL172" s="127"/>
      <c r="HM172" s="127"/>
      <c r="HN172" s="127"/>
      <c r="HO172" s="127"/>
      <c r="HP172" s="127"/>
      <c r="HQ172" s="127"/>
      <c r="HR172" s="127"/>
      <c r="HS172" s="127"/>
      <c r="HT172" s="127"/>
      <c r="HU172" s="127"/>
      <c r="HV172" s="127"/>
      <c r="HW172" s="127"/>
      <c r="HX172" s="127"/>
      <c r="HY172" s="127"/>
      <c r="HZ172" s="127"/>
      <c r="IA172" s="127"/>
      <c r="IB172" s="127"/>
      <c r="IC172" s="127"/>
      <c r="ID172" s="127"/>
      <c r="IE172" s="127"/>
      <c r="IF172" s="127"/>
      <c r="IG172" s="127"/>
      <c r="IH172" s="127"/>
      <c r="II172" s="127"/>
      <c r="IJ172" s="127"/>
      <c r="IK172" s="127"/>
      <c r="IL172" s="127"/>
      <c r="IM172" s="127"/>
      <c r="IN172" s="127"/>
      <c r="IO172" s="127"/>
      <c r="IP172" s="127"/>
      <c r="IQ172" s="127"/>
      <c r="IR172" s="127"/>
      <c r="IS172" s="127"/>
      <c r="IT172" s="127"/>
      <c r="IU172" s="127"/>
      <c r="IV172" s="127"/>
    </row>
    <row r="173" spans="1:256" x14ac:dyDescent="0.2">
      <c r="O173" s="149"/>
    </row>
    <row r="174" spans="1:256" x14ac:dyDescent="0.2">
      <c r="O174" s="149"/>
    </row>
    <row r="175" spans="1:256" x14ac:dyDescent="0.2">
      <c r="M175" s="760"/>
      <c r="N175" s="760"/>
      <c r="O175" s="149"/>
    </row>
    <row r="176" spans="1:256" x14ac:dyDescent="0.2">
      <c r="M176" s="760"/>
      <c r="N176" s="760"/>
      <c r="O176" s="149"/>
    </row>
    <row r="177" spans="13:15" x14ac:dyDescent="0.2">
      <c r="M177" s="760"/>
      <c r="N177" s="760"/>
    </row>
    <row r="178" spans="13:15" x14ac:dyDescent="0.2">
      <c r="O178" s="149"/>
    </row>
  </sheetData>
  <mergeCells count="10">
    <mergeCell ref="O1:O2"/>
    <mergeCell ref="E1:K1"/>
    <mergeCell ref="L1:N1"/>
    <mergeCell ref="M177:N177"/>
    <mergeCell ref="A1:A2"/>
    <mergeCell ref="B1:B2"/>
    <mergeCell ref="C1:C2"/>
    <mergeCell ref="D1:D2"/>
    <mergeCell ref="M175:N175"/>
    <mergeCell ref="M176:N176"/>
  </mergeCells>
  <phoneticPr fontId="99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zoomScale="110" workbookViewId="0">
      <pane ySplit="1" topLeftCell="A2" activePane="bottomLeft" state="frozen"/>
      <selection activeCell="B1" sqref="B1"/>
      <selection pane="bottomLeft" activeCell="K22" sqref="K22"/>
    </sheetView>
  </sheetViews>
  <sheetFormatPr defaultRowHeight="12" x14ac:dyDescent="0.2"/>
  <cols>
    <col min="1" max="1" width="4.33203125" style="12" customWidth="1"/>
    <col min="2" max="2" width="7" style="12" customWidth="1"/>
    <col min="3" max="3" width="23.6640625" style="12" customWidth="1"/>
    <col min="4" max="4" width="10.6640625" style="12" customWidth="1"/>
    <col min="5" max="5" width="11.83203125" style="12" customWidth="1"/>
    <col min="6" max="6" width="10.5" style="12" customWidth="1"/>
    <col min="7" max="7" width="9.83203125" style="12" customWidth="1"/>
    <col min="8" max="8" width="10.5" style="12" customWidth="1"/>
    <col min="9" max="9" width="10.83203125" style="12" customWidth="1"/>
    <col min="10" max="10" width="10.6640625" style="12" customWidth="1"/>
    <col min="11" max="11" width="9.5" style="12" customWidth="1"/>
    <col min="12" max="12" width="11.33203125" style="12" customWidth="1"/>
    <col min="13" max="13" width="11.83203125" style="12" customWidth="1"/>
    <col min="14" max="14" width="12" style="12" customWidth="1"/>
    <col min="15" max="16384" width="9.33203125" style="12"/>
  </cols>
  <sheetData>
    <row r="1" spans="1:14" ht="12.75" customHeight="1" x14ac:dyDescent="0.2">
      <c r="A1" s="764" t="s">
        <v>208</v>
      </c>
      <c r="B1" s="764" t="s">
        <v>209</v>
      </c>
      <c r="C1" s="764" t="s">
        <v>253</v>
      </c>
      <c r="D1" s="763" t="s">
        <v>259</v>
      </c>
      <c r="E1" s="763"/>
      <c r="F1" s="763"/>
      <c r="G1" s="763"/>
      <c r="H1" s="763"/>
      <c r="I1" s="763"/>
      <c r="J1" s="763"/>
      <c r="K1" s="763"/>
      <c r="L1" s="763" t="s">
        <v>258</v>
      </c>
      <c r="M1" s="763"/>
      <c r="N1" s="764" t="s">
        <v>312</v>
      </c>
    </row>
    <row r="2" spans="1:14" s="29" customFormat="1" ht="60" customHeight="1" x14ac:dyDescent="0.2">
      <c r="A2" s="764"/>
      <c r="B2" s="764"/>
      <c r="C2" s="764"/>
      <c r="D2" s="55" t="s">
        <v>236</v>
      </c>
      <c r="E2" s="55" t="s">
        <v>332</v>
      </c>
      <c r="F2" s="55" t="s">
        <v>326</v>
      </c>
      <c r="G2" s="55" t="s">
        <v>144</v>
      </c>
      <c r="H2" s="55" t="s">
        <v>160</v>
      </c>
      <c r="I2" s="55" t="s">
        <v>150</v>
      </c>
      <c r="J2" s="55" t="s">
        <v>149</v>
      </c>
      <c r="K2" s="55" t="s">
        <v>145</v>
      </c>
      <c r="L2" s="55" t="s">
        <v>263</v>
      </c>
      <c r="M2" s="55" t="s">
        <v>265</v>
      </c>
      <c r="N2" s="764"/>
    </row>
    <row r="3" spans="1:14" s="29" customFormat="1" ht="15" customHeight="1" x14ac:dyDescent="0.2">
      <c r="A3" s="155">
        <v>1</v>
      </c>
      <c r="B3" s="155"/>
      <c r="C3" s="30" t="s">
        <v>313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29" customFormat="1" ht="15" customHeight="1" x14ac:dyDescent="0.2">
      <c r="A4" s="155">
        <v>1</v>
      </c>
      <c r="B4" s="155">
        <v>1</v>
      </c>
      <c r="C4" s="4" t="s">
        <v>131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s="19" customFormat="1" ht="24.95" customHeight="1" x14ac:dyDescent="0.2">
      <c r="A5" s="2"/>
      <c r="B5" s="2">
        <v>12</v>
      </c>
      <c r="C5" s="58" t="s">
        <v>224</v>
      </c>
      <c r="D5" s="32">
        <f>'[1]6.a'!G45</f>
        <v>0</v>
      </c>
      <c r="E5" s="32">
        <f>'[1]6.a'!H45</f>
        <v>4900</v>
      </c>
      <c r="F5" s="32">
        <f>'[1]6.a'!I45</f>
        <v>30540</v>
      </c>
      <c r="G5" s="32">
        <f>'[1]6.a'!J45</f>
        <v>90350</v>
      </c>
      <c r="H5" s="32">
        <f>'[1]6.a'!K45</f>
        <v>3200</v>
      </c>
      <c r="I5" s="32">
        <f>'[1]6.a'!L45</f>
        <v>0</v>
      </c>
      <c r="J5" s="32">
        <f>'[1]6.a'!M45</f>
        <v>0</v>
      </c>
      <c r="K5" s="32">
        <f>'[1]6.a'!N45</f>
        <v>25319</v>
      </c>
      <c r="L5" s="32">
        <f>'[1]6.a'!O45</f>
        <v>0</v>
      </c>
      <c r="M5" s="32">
        <f>'[1]6.a'!P45</f>
        <v>0</v>
      </c>
      <c r="N5" s="3">
        <f t="shared" ref="N5:N15" si="0">SUM(D5:M5)</f>
        <v>154309</v>
      </c>
    </row>
    <row r="6" spans="1:14" s="19" customFormat="1" ht="14.1" customHeight="1" x14ac:dyDescent="0.2">
      <c r="A6" s="2"/>
      <c r="B6" s="2">
        <v>13</v>
      </c>
      <c r="C6" s="30" t="s">
        <v>225</v>
      </c>
      <c r="D6" s="32">
        <f>'[1]6.a'!G220</f>
        <v>3891</v>
      </c>
      <c r="E6" s="32">
        <f>'[1]6.a'!H220</f>
        <v>1415</v>
      </c>
      <c r="F6" s="32">
        <f>'[1]6.a'!I220</f>
        <v>111092</v>
      </c>
      <c r="G6" s="32">
        <f>'[1]6.a'!J220</f>
        <v>5100</v>
      </c>
      <c r="H6" s="32">
        <f>'[1]6.a'!K220</f>
        <v>930103</v>
      </c>
      <c r="I6" s="32">
        <f>'[1]6.a'!L220</f>
        <v>6251</v>
      </c>
      <c r="J6" s="32">
        <f>'[1]6.a'!M220</f>
        <v>26835</v>
      </c>
      <c r="K6" s="32">
        <f>'[1]6.a'!N220</f>
        <v>12120</v>
      </c>
      <c r="L6" s="32">
        <f>'[1]6.a'!O220</f>
        <v>0</v>
      </c>
      <c r="M6" s="32">
        <f>'[1]6.a'!P220</f>
        <v>0</v>
      </c>
      <c r="N6" s="3">
        <f t="shared" si="0"/>
        <v>1096807</v>
      </c>
    </row>
    <row r="7" spans="1:14" s="19" customFormat="1" ht="14.1" customHeight="1" x14ac:dyDescent="0.2">
      <c r="A7" s="2"/>
      <c r="B7" s="2">
        <v>14</v>
      </c>
      <c r="C7" s="30" t="s">
        <v>315</v>
      </c>
      <c r="D7" s="32">
        <f>'[1]6.a'!G232</f>
        <v>0</v>
      </c>
      <c r="E7" s="32">
        <f>'[1]6.a'!H232</f>
        <v>0</v>
      </c>
      <c r="F7" s="32">
        <f>'[1]6.a'!I232</f>
        <v>9026</v>
      </c>
      <c r="G7" s="32">
        <f>'[1]6.a'!J232</f>
        <v>0</v>
      </c>
      <c r="H7" s="32">
        <f>'[1]6.a'!K232</f>
        <v>0</v>
      </c>
      <c r="I7" s="32">
        <f>'[1]6.a'!L232</f>
        <v>17517</v>
      </c>
      <c r="J7" s="32">
        <f>'[1]6.a'!M232</f>
        <v>0</v>
      </c>
      <c r="K7" s="32">
        <f>'[1]6.a'!N232</f>
        <v>6901</v>
      </c>
      <c r="L7" s="32">
        <f>'[1]6.a'!O232</f>
        <v>0</v>
      </c>
      <c r="M7" s="32">
        <f>'[1]6.a'!P232</f>
        <v>0</v>
      </c>
      <c r="N7" s="3">
        <f t="shared" si="0"/>
        <v>33444</v>
      </c>
    </row>
    <row r="8" spans="1:14" s="19" customFormat="1" ht="14.1" customHeight="1" x14ac:dyDescent="0.2">
      <c r="A8" s="2"/>
      <c r="B8" s="2">
        <v>15</v>
      </c>
      <c r="C8" s="37" t="s">
        <v>256</v>
      </c>
      <c r="D8" s="32">
        <f>'[1]6.a'!G474</f>
        <v>7800</v>
      </c>
      <c r="E8" s="32">
        <f>'[1]6.a'!H474</f>
        <v>1350</v>
      </c>
      <c r="F8" s="32">
        <f>'[1]6.a'!I474</f>
        <v>1800922</v>
      </c>
      <c r="G8" s="32">
        <f>'[1]6.a'!J474</f>
        <v>0</v>
      </c>
      <c r="H8" s="32">
        <f>'[1]6.a'!K474</f>
        <v>434698</v>
      </c>
      <c r="I8" s="32">
        <f>'[1]6.a'!L474</f>
        <v>164206</v>
      </c>
      <c r="J8" s="32">
        <f>'[1]6.a'!M474</f>
        <v>42604</v>
      </c>
      <c r="K8" s="32">
        <f>'[1]6.a'!N474</f>
        <v>1000</v>
      </c>
      <c r="L8" s="32">
        <f>'[1]6.a'!O474</f>
        <v>0</v>
      </c>
      <c r="M8" s="32">
        <f>'[1]6.a'!P474</f>
        <v>0</v>
      </c>
      <c r="N8" s="3">
        <f t="shared" si="0"/>
        <v>2452580</v>
      </c>
    </row>
    <row r="9" spans="1:14" s="19" customFormat="1" ht="14.1" customHeight="1" x14ac:dyDescent="0.2">
      <c r="A9" s="2"/>
      <c r="B9" s="2">
        <v>16</v>
      </c>
      <c r="C9" s="37" t="s">
        <v>243</v>
      </c>
      <c r="D9" s="32">
        <f>'[1]6.a'!G667</f>
        <v>54181</v>
      </c>
      <c r="E9" s="32">
        <f>'[1]6.a'!H667</f>
        <v>12770</v>
      </c>
      <c r="F9" s="32">
        <f>'[1]6.a'!I667</f>
        <v>6299014</v>
      </c>
      <c r="G9" s="32">
        <f>'[1]6.a'!J667</f>
        <v>0</v>
      </c>
      <c r="H9" s="32">
        <f>'[1]6.a'!K667</f>
        <v>78838</v>
      </c>
      <c r="I9" s="32">
        <f>'[1]6.a'!L667</f>
        <v>26743495</v>
      </c>
      <c r="J9" s="32">
        <f>'[1]6.a'!M667</f>
        <v>5179522</v>
      </c>
      <c r="K9" s="32">
        <f>'[1]6.a'!N667</f>
        <v>10185</v>
      </c>
      <c r="L9" s="32">
        <f>'[1]6.a'!O667</f>
        <v>0</v>
      </c>
      <c r="M9" s="32">
        <f>'[1]6.a'!P667</f>
        <v>0</v>
      </c>
      <c r="N9" s="3">
        <f t="shared" si="0"/>
        <v>38378005</v>
      </c>
    </row>
    <row r="10" spans="1:14" s="19" customFormat="1" ht="14.1" customHeight="1" x14ac:dyDescent="0.2">
      <c r="A10" s="2"/>
      <c r="B10" s="2">
        <v>17</v>
      </c>
      <c r="C10" s="37" t="s">
        <v>257</v>
      </c>
      <c r="D10" s="32">
        <f>'[1]6.a'!G692</f>
        <v>0</v>
      </c>
      <c r="E10" s="32">
        <f>'[1]6.a'!H692</f>
        <v>0</v>
      </c>
      <c r="F10" s="32">
        <f>'[1]6.a'!I692</f>
        <v>50961</v>
      </c>
      <c r="G10" s="32">
        <f>'[1]6.a'!J692</f>
        <v>0</v>
      </c>
      <c r="H10" s="32">
        <f>'[1]6.a'!K692</f>
        <v>0</v>
      </c>
      <c r="I10" s="32">
        <f>'[1]6.a'!L692</f>
        <v>128147</v>
      </c>
      <c r="J10" s="32">
        <f>'[1]6.a'!M692</f>
        <v>1966</v>
      </c>
      <c r="K10" s="32">
        <f>'[1]6.a'!N692</f>
        <v>30075</v>
      </c>
      <c r="L10" s="32">
        <f>'[1]6.a'!O692</f>
        <v>0</v>
      </c>
      <c r="M10" s="32">
        <f>'[1]6.a'!P692</f>
        <v>25000</v>
      </c>
      <c r="N10" s="3">
        <f t="shared" si="0"/>
        <v>236149</v>
      </c>
    </row>
    <row r="11" spans="1:14" s="19" customFormat="1" ht="14.1" customHeight="1" x14ac:dyDescent="0.2">
      <c r="A11" s="2"/>
      <c r="B11" s="2">
        <v>18</v>
      </c>
      <c r="C11" s="37" t="s">
        <v>148</v>
      </c>
      <c r="D11" s="32">
        <f>'[1]6.a'!G716</f>
        <v>149479</v>
      </c>
      <c r="E11" s="32">
        <f>'[1]6.a'!H716</f>
        <v>27014</v>
      </c>
      <c r="F11" s="32">
        <f>'[1]6.a'!I716</f>
        <v>82368</v>
      </c>
      <c r="G11" s="32">
        <f>'[1]6.a'!J716</f>
        <v>0</v>
      </c>
      <c r="H11" s="32">
        <f>'[1]6.a'!K716</f>
        <v>7000</v>
      </c>
      <c r="I11" s="32">
        <f>'[1]6.a'!L716</f>
        <v>10065</v>
      </c>
      <c r="J11" s="32">
        <f>'[1]6.a'!M716</f>
        <v>0</v>
      </c>
      <c r="K11" s="32">
        <f>'[1]6.a'!N716</f>
        <v>0</v>
      </c>
      <c r="L11" s="32">
        <f>'[1]6.a'!O716</f>
        <v>0</v>
      </c>
      <c r="M11" s="32">
        <f>'[1]6.a'!P716</f>
        <v>0</v>
      </c>
      <c r="N11" s="3">
        <f t="shared" si="0"/>
        <v>275926</v>
      </c>
    </row>
    <row r="12" spans="1:14" s="19" customFormat="1" ht="14.1" customHeight="1" x14ac:dyDescent="0.2">
      <c r="A12" s="2"/>
      <c r="B12" s="2">
        <v>19</v>
      </c>
      <c r="C12" s="36" t="s">
        <v>206</v>
      </c>
      <c r="D12" s="32">
        <f>'[1]6.a'!G751</f>
        <v>0</v>
      </c>
      <c r="E12" s="32">
        <f>'[1]6.a'!H751</f>
        <v>0</v>
      </c>
      <c r="F12" s="32">
        <f>'[1]6.a'!I751</f>
        <v>372357</v>
      </c>
      <c r="G12" s="32">
        <f>'[1]6.a'!J751</f>
        <v>0</v>
      </c>
      <c r="H12" s="32">
        <f>'[1]6.a'!K751</f>
        <v>500736</v>
      </c>
      <c r="I12" s="32">
        <f>'[1]6.a'!L751</f>
        <v>0</v>
      </c>
      <c r="J12" s="32">
        <f>'[1]6.a'!M751</f>
        <v>0</v>
      </c>
      <c r="K12" s="32">
        <f>'[1]6.a'!N751</f>
        <v>5500</v>
      </c>
      <c r="L12" s="32">
        <f>'[1]6.a'!O751</f>
        <v>104052</v>
      </c>
      <c r="M12" s="32">
        <f>'[1]6.a'!P751</f>
        <v>12088612</v>
      </c>
      <c r="N12" s="3">
        <f t="shared" si="0"/>
        <v>13071257</v>
      </c>
    </row>
    <row r="13" spans="1:14" s="19" customFormat="1" ht="12.95" customHeight="1" x14ac:dyDescent="0.2">
      <c r="A13" s="2"/>
      <c r="B13" s="2">
        <v>20</v>
      </c>
      <c r="C13" s="36" t="s">
        <v>132</v>
      </c>
      <c r="D13" s="32">
        <f>'[1]6.a'!G754</f>
        <v>0</v>
      </c>
      <c r="E13" s="32">
        <f>'[1]6.a'!H754</f>
        <v>0</v>
      </c>
      <c r="F13" s="32">
        <f>'[1]6.a'!I754</f>
        <v>0</v>
      </c>
      <c r="G13" s="32">
        <f>'[1]6.a'!J754</f>
        <v>0</v>
      </c>
      <c r="H13" s="32">
        <f>'[1]6.a'!K754</f>
        <v>0</v>
      </c>
      <c r="I13" s="32">
        <f>'[1]6.a'!L754</f>
        <v>0</v>
      </c>
      <c r="J13" s="32">
        <f>'[1]6.a'!M754</f>
        <v>0</v>
      </c>
      <c r="K13" s="32">
        <f>'[1]6.a'!N754</f>
        <v>0</v>
      </c>
      <c r="L13" s="32">
        <f>'[1]6.a'!O754</f>
        <v>0</v>
      </c>
      <c r="M13" s="32">
        <f>'[1]6.a'!P754</f>
        <v>0</v>
      </c>
      <c r="N13" s="3">
        <f t="shared" si="0"/>
        <v>0</v>
      </c>
    </row>
    <row r="14" spans="1:14" s="19" customFormat="1" ht="27" customHeight="1" x14ac:dyDescent="0.2">
      <c r="A14" s="2"/>
      <c r="B14" s="2">
        <v>22</v>
      </c>
      <c r="C14" s="685" t="s">
        <v>137</v>
      </c>
      <c r="D14" s="32">
        <f>'[1]6.a'!G808</f>
        <v>16813</v>
      </c>
      <c r="E14" s="32">
        <f>'[1]6.a'!H808</f>
        <v>9699</v>
      </c>
      <c r="F14" s="32">
        <f>'[1]6.a'!I808</f>
        <v>190813</v>
      </c>
      <c r="G14" s="32">
        <f>'[1]6.a'!J808</f>
        <v>0</v>
      </c>
      <c r="H14" s="32">
        <f>'[1]6.a'!K808</f>
        <v>316017</v>
      </c>
      <c r="I14" s="32">
        <f>'[1]6.a'!L808</f>
        <v>15743</v>
      </c>
      <c r="J14" s="32">
        <f>'[1]6.a'!M808</f>
        <v>0</v>
      </c>
      <c r="K14" s="32">
        <f>'[1]6.a'!N808</f>
        <v>6350</v>
      </c>
      <c r="L14" s="32">
        <f>'[1]6.a'!O808</f>
        <v>0</v>
      </c>
      <c r="M14" s="32">
        <f>'[1]6.a'!P808</f>
        <v>0</v>
      </c>
      <c r="N14" s="3">
        <f t="shared" si="0"/>
        <v>555435</v>
      </c>
    </row>
    <row r="15" spans="1:14" s="19" customFormat="1" ht="12.95" customHeight="1" x14ac:dyDescent="0.2">
      <c r="A15" s="2"/>
      <c r="B15" s="2">
        <v>30</v>
      </c>
      <c r="C15" s="4" t="s">
        <v>134</v>
      </c>
      <c r="D15" s="32">
        <f>'[1]6.a'!G822</f>
        <v>0</v>
      </c>
      <c r="E15" s="32">
        <f>'[1]6.a'!H822</f>
        <v>0</v>
      </c>
      <c r="F15" s="32">
        <f>'[1]6.a'!I822</f>
        <v>0</v>
      </c>
      <c r="G15" s="32">
        <f>'[1]6.a'!J822</f>
        <v>0</v>
      </c>
      <c r="H15" s="32">
        <f>'[1]6.a'!K822</f>
        <v>1003140</v>
      </c>
      <c r="I15" s="32">
        <f>'[1]6.a'!L822</f>
        <v>10420</v>
      </c>
      <c r="J15" s="32">
        <f>'[1]6.a'!M822</f>
        <v>3766</v>
      </c>
      <c r="K15" s="32">
        <f>'[1]6.a'!N822</f>
        <v>0</v>
      </c>
      <c r="L15" s="32">
        <f>'[1]6.a'!O822</f>
        <v>0</v>
      </c>
      <c r="M15" s="32">
        <f>'[1]6.a'!P822</f>
        <v>0</v>
      </c>
      <c r="N15" s="3">
        <f t="shared" si="0"/>
        <v>1017326</v>
      </c>
    </row>
    <row r="16" spans="1:14" s="19" customFormat="1" ht="34.5" customHeight="1" x14ac:dyDescent="0.2">
      <c r="A16" s="38"/>
      <c r="B16" s="38"/>
      <c r="C16" s="53" t="s">
        <v>139</v>
      </c>
      <c r="D16" s="5">
        <f t="shared" ref="D16:N16" si="1">SUM(D5:D15)</f>
        <v>232164</v>
      </c>
      <c r="E16" s="5">
        <f t="shared" si="1"/>
        <v>57148</v>
      </c>
      <c r="F16" s="5">
        <f t="shared" si="1"/>
        <v>8947093</v>
      </c>
      <c r="G16" s="5">
        <f t="shared" si="1"/>
        <v>95450</v>
      </c>
      <c r="H16" s="5">
        <f t="shared" si="1"/>
        <v>3273732</v>
      </c>
      <c r="I16" s="5">
        <f t="shared" si="1"/>
        <v>27095844</v>
      </c>
      <c r="J16" s="5">
        <f t="shared" si="1"/>
        <v>5254693</v>
      </c>
      <c r="K16" s="5">
        <f t="shared" si="1"/>
        <v>97450</v>
      </c>
      <c r="L16" s="5">
        <f t="shared" si="1"/>
        <v>104052</v>
      </c>
      <c r="M16" s="5">
        <f t="shared" si="1"/>
        <v>12113612</v>
      </c>
      <c r="N16" s="5">
        <f t="shared" si="1"/>
        <v>57271238</v>
      </c>
    </row>
    <row r="17" spans="1:14" s="19" customFormat="1" ht="12.95" customHeight="1" x14ac:dyDescent="0.2">
      <c r="A17" s="165">
        <v>2</v>
      </c>
      <c r="B17" s="165"/>
      <c r="C17" s="30" t="s">
        <v>314</v>
      </c>
      <c r="D17" s="32">
        <f>'[1]8'!E21</f>
        <v>4322510</v>
      </c>
      <c r="E17" s="32">
        <f>'[1]8'!F21</f>
        <v>817839</v>
      </c>
      <c r="F17" s="32">
        <f>'[1]8'!G21</f>
        <v>2518077</v>
      </c>
      <c r="G17" s="32">
        <f>'[1]8'!H21</f>
        <v>5188</v>
      </c>
      <c r="H17" s="32">
        <f>'[1]8'!I21</f>
        <v>190227</v>
      </c>
      <c r="I17" s="32">
        <f>'[1]8'!J21</f>
        <v>174716</v>
      </c>
      <c r="J17" s="32">
        <f>'[1]8'!K21</f>
        <v>52926</v>
      </c>
      <c r="K17" s="32">
        <f>'[1]8'!L21</f>
        <v>0</v>
      </c>
      <c r="L17" s="32"/>
      <c r="M17" s="32"/>
      <c r="N17" s="32">
        <f>SUM(D17:M17)</f>
        <v>8081483</v>
      </c>
    </row>
    <row r="18" spans="1:14" s="19" customFormat="1" ht="12.95" customHeight="1" x14ac:dyDescent="0.2">
      <c r="A18" s="38"/>
      <c r="B18" s="38"/>
      <c r="C18" s="6" t="s">
        <v>304</v>
      </c>
      <c r="D18" s="5">
        <f>SUM(D16:D17)</f>
        <v>4554674</v>
      </c>
      <c r="E18" s="5">
        <f t="shared" ref="E18:N18" si="2">SUM(E16:E17)</f>
        <v>874987</v>
      </c>
      <c r="F18" s="5">
        <f t="shared" si="2"/>
        <v>11465170</v>
      </c>
      <c r="G18" s="5">
        <f t="shared" si="2"/>
        <v>100638</v>
      </c>
      <c r="H18" s="5">
        <f t="shared" si="2"/>
        <v>3463959</v>
      </c>
      <c r="I18" s="5">
        <f t="shared" si="2"/>
        <v>27270560</v>
      </c>
      <c r="J18" s="5">
        <f t="shared" si="2"/>
        <v>5307619</v>
      </c>
      <c r="K18" s="5">
        <f t="shared" si="2"/>
        <v>97450</v>
      </c>
      <c r="L18" s="5">
        <f t="shared" si="2"/>
        <v>104052</v>
      </c>
      <c r="M18" s="5">
        <f t="shared" si="2"/>
        <v>12113612</v>
      </c>
      <c r="N18" s="5">
        <f t="shared" si="2"/>
        <v>65352721</v>
      </c>
    </row>
    <row r="20" spans="1:14" x14ac:dyDescent="0.2">
      <c r="N20" s="686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27"/>
  <sheetViews>
    <sheetView topLeftCell="D1" zoomScale="101" zoomScaleNormal="101" zoomScaleSheetLayoutView="120" workbookViewId="0">
      <pane ySplit="1" topLeftCell="A804" activePane="bottomLeft" state="frozen"/>
      <selection pane="bottomLeft" activeCell="H834" sqref="H834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646" customWidth="1"/>
    <col min="14" max="14" width="8.83203125" style="646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772" t="s">
        <v>208</v>
      </c>
      <c r="B1" s="772" t="s">
        <v>209</v>
      </c>
      <c r="C1" s="772" t="s">
        <v>147</v>
      </c>
      <c r="D1" s="774" t="s">
        <v>253</v>
      </c>
      <c r="E1" s="768" t="s">
        <v>547</v>
      </c>
      <c r="F1" s="770" t="s">
        <v>415</v>
      </c>
      <c r="G1" s="776" t="s">
        <v>259</v>
      </c>
      <c r="H1" s="776"/>
      <c r="I1" s="776"/>
      <c r="J1" s="776"/>
      <c r="K1" s="776"/>
      <c r="L1" s="776"/>
      <c r="M1" s="776"/>
      <c r="N1" s="777"/>
      <c r="O1" s="778" t="s">
        <v>258</v>
      </c>
      <c r="P1" s="777"/>
      <c r="Q1" s="766" t="s">
        <v>548</v>
      </c>
    </row>
    <row r="2" spans="1:17" ht="57.95" customHeight="1" thickBot="1" x14ac:dyDescent="0.25">
      <c r="A2" s="773"/>
      <c r="B2" s="773"/>
      <c r="C2" s="773"/>
      <c r="D2" s="775"/>
      <c r="E2" s="769"/>
      <c r="F2" s="771"/>
      <c r="G2" s="639" t="s">
        <v>236</v>
      </c>
      <c r="H2" s="151" t="s">
        <v>332</v>
      </c>
      <c r="I2" s="151" t="s">
        <v>326</v>
      </c>
      <c r="J2" s="151" t="s">
        <v>144</v>
      </c>
      <c r="K2" s="151" t="s">
        <v>160</v>
      </c>
      <c r="L2" s="151" t="s">
        <v>150</v>
      </c>
      <c r="M2" s="151" t="s">
        <v>149</v>
      </c>
      <c r="N2" s="151" t="s">
        <v>145</v>
      </c>
      <c r="O2" s="152" t="s">
        <v>263</v>
      </c>
      <c r="P2" s="153" t="s">
        <v>265</v>
      </c>
      <c r="Q2" s="767"/>
    </row>
    <row r="3" spans="1:17" ht="16.5" customHeight="1" x14ac:dyDescent="0.2">
      <c r="A3" s="154">
        <v>1</v>
      </c>
      <c r="B3" s="155"/>
      <c r="C3" s="156"/>
      <c r="D3" s="157" t="s">
        <v>549</v>
      </c>
      <c r="E3" s="158"/>
      <c r="F3" s="159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1"/>
    </row>
    <row r="4" spans="1:17" ht="12.75" customHeight="1" x14ac:dyDescent="0.2">
      <c r="A4" s="155">
        <v>1</v>
      </c>
      <c r="B4" s="155">
        <v>1</v>
      </c>
      <c r="C4" s="155"/>
      <c r="D4" s="157" t="s">
        <v>131</v>
      </c>
      <c r="E4" s="7"/>
      <c r="F4" s="162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7" ht="12" customHeight="1" x14ac:dyDescent="0.2">
      <c r="A5" s="2">
        <v>1</v>
      </c>
      <c r="B5" s="2">
        <v>12</v>
      </c>
      <c r="C5" s="2"/>
      <c r="D5" s="163" t="s">
        <v>224</v>
      </c>
      <c r="E5" s="164"/>
      <c r="F5" s="165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45" customHeight="1" x14ac:dyDescent="0.2">
      <c r="A6" s="2"/>
      <c r="B6" s="2"/>
      <c r="C6" s="166"/>
      <c r="D6" s="167" t="s">
        <v>550</v>
      </c>
      <c r="E6" s="168"/>
      <c r="F6" s="169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">
      <c r="A7" s="2"/>
      <c r="B7" s="2"/>
      <c r="C7" s="166"/>
      <c r="D7" s="170" t="s">
        <v>551</v>
      </c>
      <c r="E7" s="171">
        <v>2</v>
      </c>
      <c r="F7" s="4">
        <v>121103</v>
      </c>
      <c r="G7" s="3">
        <f>0+[1]táj.2!G7</f>
        <v>0</v>
      </c>
      <c r="H7" s="3">
        <f>0+[1]táj.2!H7</f>
        <v>0</v>
      </c>
      <c r="I7" s="3">
        <f>0+[1]táj.2!I7</f>
        <v>0</v>
      </c>
      <c r="J7" s="3">
        <f>5700+[1]táj.2!J7</f>
        <v>5700</v>
      </c>
      <c r="K7" s="3">
        <f>0+[1]táj.2!K7</f>
        <v>0</v>
      </c>
      <c r="L7" s="3">
        <f>0+[1]táj.2!L7</f>
        <v>0</v>
      </c>
      <c r="M7" s="3">
        <f>0+[1]táj.2!M7</f>
        <v>0</v>
      </c>
      <c r="N7" s="3">
        <f>0+[1]táj.2!N7</f>
        <v>0</v>
      </c>
      <c r="O7" s="3">
        <f>0+[1]táj.2!O7</f>
        <v>0</v>
      </c>
      <c r="P7" s="3">
        <f>0+[1]táj.2!P7</f>
        <v>0</v>
      </c>
      <c r="Q7" s="3">
        <f>SUM(G7:P7)</f>
        <v>5700</v>
      </c>
    </row>
    <row r="8" spans="1:17" ht="14.45" customHeight="1" x14ac:dyDescent="0.2">
      <c r="A8" s="2"/>
      <c r="B8" s="2"/>
      <c r="C8" s="166"/>
      <c r="D8" s="170" t="s">
        <v>552</v>
      </c>
      <c r="E8" s="171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4.45" customHeight="1" x14ac:dyDescent="0.2">
      <c r="A9" s="2"/>
      <c r="B9" s="2"/>
      <c r="C9" s="166"/>
      <c r="D9" s="170" t="s">
        <v>553</v>
      </c>
      <c r="E9" s="171">
        <v>2</v>
      </c>
      <c r="F9" s="4">
        <v>121104</v>
      </c>
      <c r="G9" s="3">
        <f>0+[1]táj.2!G9</f>
        <v>0</v>
      </c>
      <c r="H9" s="3">
        <f>0+[1]táj.2!H9</f>
        <v>0</v>
      </c>
      <c r="I9" s="3">
        <f>0+[1]táj.2!I9</f>
        <v>0</v>
      </c>
      <c r="J9" s="3">
        <f>22000+[1]táj.2!J9</f>
        <v>22000</v>
      </c>
      <c r="K9" s="3">
        <f>0+[1]táj.2!K9</f>
        <v>0</v>
      </c>
      <c r="L9" s="3">
        <f>0+[1]táj.2!L9</f>
        <v>0</v>
      </c>
      <c r="M9" s="3">
        <f>0+[1]táj.2!M9</f>
        <v>0</v>
      </c>
      <c r="N9" s="3">
        <f>0+[1]táj.2!N9</f>
        <v>0</v>
      </c>
      <c r="O9" s="3">
        <f>0+[1]táj.2!O9</f>
        <v>0</v>
      </c>
      <c r="P9" s="3">
        <f>0+[1]táj.2!P9</f>
        <v>0</v>
      </c>
      <c r="Q9" s="3">
        <f>SUM(G9:P9)</f>
        <v>22000</v>
      </c>
    </row>
    <row r="10" spans="1:17" ht="24" customHeight="1" x14ac:dyDescent="0.2">
      <c r="A10" s="2"/>
      <c r="B10" s="2"/>
      <c r="C10" s="166"/>
      <c r="D10" s="687" t="s">
        <v>554</v>
      </c>
      <c r="E10" s="171">
        <v>2</v>
      </c>
      <c r="F10" s="4">
        <v>121117</v>
      </c>
      <c r="G10" s="3">
        <f>0+[1]táj.2!G10</f>
        <v>0</v>
      </c>
      <c r="H10" s="3">
        <f>0+[1]táj.2!H10</f>
        <v>0</v>
      </c>
      <c r="I10" s="3">
        <f>0+[1]táj.2!I10</f>
        <v>0</v>
      </c>
      <c r="J10" s="3">
        <f>8000+[1]táj.2!J10</f>
        <v>8000</v>
      </c>
      <c r="K10" s="3">
        <f>0+[1]táj.2!K10</f>
        <v>0</v>
      </c>
      <c r="L10" s="3">
        <f>0+[1]táj.2!L10</f>
        <v>0</v>
      </c>
      <c r="M10" s="3">
        <f>0+[1]táj.2!M10</f>
        <v>0</v>
      </c>
      <c r="N10" s="3">
        <f>0+[1]táj.2!N10</f>
        <v>0</v>
      </c>
      <c r="O10" s="3">
        <f>0+[1]táj.2!O10</f>
        <v>0</v>
      </c>
      <c r="P10" s="3">
        <f>0+[1]táj.2!P10</f>
        <v>0</v>
      </c>
      <c r="Q10" s="3">
        <f>SUM(G10:P10)</f>
        <v>8000</v>
      </c>
    </row>
    <row r="11" spans="1:17" ht="14.45" customHeight="1" x14ac:dyDescent="0.2">
      <c r="A11" s="2"/>
      <c r="B11" s="2"/>
      <c r="C11" s="166"/>
      <c r="D11" s="170" t="s">
        <v>555</v>
      </c>
      <c r="E11" s="171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4.45" customHeight="1" x14ac:dyDescent="0.2">
      <c r="A12" s="2"/>
      <c r="B12" s="2"/>
      <c r="C12" s="166"/>
      <c r="D12" s="170" t="s">
        <v>556</v>
      </c>
      <c r="E12" s="171">
        <v>2</v>
      </c>
      <c r="F12" s="4">
        <v>121111</v>
      </c>
      <c r="G12" s="3">
        <f>0+[1]táj.2!G12</f>
        <v>0</v>
      </c>
      <c r="H12" s="3">
        <f>0+[1]táj.2!H12</f>
        <v>0</v>
      </c>
      <c r="I12" s="3">
        <f>0+[1]táj.2!I12</f>
        <v>0</v>
      </c>
      <c r="J12" s="3">
        <f>2000+[1]táj.2!J12</f>
        <v>2000</v>
      </c>
      <c r="K12" s="3">
        <f>0+[1]táj.2!K12</f>
        <v>0</v>
      </c>
      <c r="L12" s="3">
        <f>0+[1]táj.2!L12</f>
        <v>0</v>
      </c>
      <c r="M12" s="3">
        <f>0+[1]táj.2!M12</f>
        <v>0</v>
      </c>
      <c r="N12" s="3">
        <f>0+[1]táj.2!N12</f>
        <v>0</v>
      </c>
      <c r="O12" s="3">
        <f>0+[1]táj.2!O12</f>
        <v>0</v>
      </c>
      <c r="P12" s="3">
        <f>0+[1]táj.2!P12</f>
        <v>0</v>
      </c>
      <c r="Q12" s="3">
        <f t="shared" ref="Q12:Q17" si="0">SUM(G12:P12)</f>
        <v>2000</v>
      </c>
    </row>
    <row r="13" spans="1:17" ht="14.45" customHeight="1" x14ac:dyDescent="0.2">
      <c r="A13" s="2"/>
      <c r="B13" s="2"/>
      <c r="C13" s="166"/>
      <c r="D13" s="170" t="s">
        <v>557</v>
      </c>
      <c r="E13" s="171">
        <v>2</v>
      </c>
      <c r="F13" s="171">
        <v>121127</v>
      </c>
      <c r="G13" s="3">
        <f>0+[1]táj.2!G13</f>
        <v>0</v>
      </c>
      <c r="H13" s="3">
        <f>0+[1]táj.2!H13</f>
        <v>0</v>
      </c>
      <c r="I13" s="3">
        <f>0+[1]táj.2!I13</f>
        <v>0</v>
      </c>
      <c r="J13" s="3">
        <f>3000+[1]táj.2!J13</f>
        <v>3000</v>
      </c>
      <c r="K13" s="3">
        <f>0+[1]táj.2!K13</f>
        <v>0</v>
      </c>
      <c r="L13" s="3">
        <f>0+[1]táj.2!L13</f>
        <v>0</v>
      </c>
      <c r="M13" s="3">
        <f>0+[1]táj.2!M13</f>
        <v>0</v>
      </c>
      <c r="N13" s="3">
        <f>0+[1]táj.2!N13</f>
        <v>0</v>
      </c>
      <c r="O13" s="3">
        <f>0+[1]táj.2!O13</f>
        <v>0</v>
      </c>
      <c r="P13" s="3">
        <f>0+[1]táj.2!P13</f>
        <v>0</v>
      </c>
      <c r="Q13" s="3">
        <f t="shared" si="0"/>
        <v>3000</v>
      </c>
    </row>
    <row r="14" spans="1:17" ht="14.45" customHeight="1" x14ac:dyDescent="0.2">
      <c r="A14" s="2"/>
      <c r="B14" s="2"/>
      <c r="C14" s="166"/>
      <c r="D14" s="170" t="s">
        <v>558</v>
      </c>
      <c r="E14" s="171">
        <v>2</v>
      </c>
      <c r="F14" s="171">
        <v>121115</v>
      </c>
      <c r="G14" s="3">
        <f>0+[1]táj.2!G14</f>
        <v>0</v>
      </c>
      <c r="H14" s="3">
        <f>0+[1]táj.2!H14</f>
        <v>0</v>
      </c>
      <c r="I14" s="3">
        <f>0+[1]táj.2!I14</f>
        <v>0</v>
      </c>
      <c r="J14" s="3">
        <f>1000+[1]táj.2!J14</f>
        <v>1000</v>
      </c>
      <c r="K14" s="3">
        <f>0+[1]táj.2!K14</f>
        <v>0</v>
      </c>
      <c r="L14" s="3">
        <f>0+[1]táj.2!L14</f>
        <v>0</v>
      </c>
      <c r="M14" s="3">
        <f>0+[1]táj.2!M14</f>
        <v>0</v>
      </c>
      <c r="N14" s="3">
        <f>0+[1]táj.2!N14</f>
        <v>0</v>
      </c>
      <c r="O14" s="3">
        <f>0+[1]táj.2!O14</f>
        <v>0</v>
      </c>
      <c r="P14" s="3">
        <f>0+[1]táj.2!P14</f>
        <v>0</v>
      </c>
      <c r="Q14" s="3">
        <f t="shared" si="0"/>
        <v>1000</v>
      </c>
    </row>
    <row r="15" spans="1:17" ht="14.45" customHeight="1" x14ac:dyDescent="0.2">
      <c r="A15" s="2"/>
      <c r="B15" s="2"/>
      <c r="C15" s="166"/>
      <c r="D15" s="170" t="s">
        <v>559</v>
      </c>
      <c r="E15" s="171">
        <v>2</v>
      </c>
      <c r="F15" s="171">
        <v>121128</v>
      </c>
      <c r="G15" s="3">
        <f>0+[1]táj.2!G15</f>
        <v>0</v>
      </c>
      <c r="H15" s="3">
        <f>0+[1]táj.2!H15</f>
        <v>0</v>
      </c>
      <c r="I15" s="3">
        <f>0+[1]táj.2!I15</f>
        <v>0</v>
      </c>
      <c r="J15" s="3">
        <f>500+[1]táj.2!J15</f>
        <v>500</v>
      </c>
      <c r="K15" s="3">
        <f>0+[1]táj.2!K15</f>
        <v>0</v>
      </c>
      <c r="L15" s="3">
        <f>0+[1]táj.2!L15</f>
        <v>0</v>
      </c>
      <c r="M15" s="3">
        <f>0+[1]táj.2!M15</f>
        <v>0</v>
      </c>
      <c r="N15" s="3">
        <f>0+[1]táj.2!N15</f>
        <v>0</v>
      </c>
      <c r="O15" s="3">
        <f>0+[1]táj.2!O15</f>
        <v>0</v>
      </c>
      <c r="P15" s="3">
        <f>0+[1]táj.2!P15</f>
        <v>0</v>
      </c>
      <c r="Q15" s="3">
        <f t="shared" si="0"/>
        <v>500</v>
      </c>
    </row>
    <row r="16" spans="1:17" ht="14.45" customHeight="1" x14ac:dyDescent="0.2">
      <c r="A16" s="2"/>
      <c r="B16" s="2"/>
      <c r="C16" s="166"/>
      <c r="D16" s="170" t="s">
        <v>560</v>
      </c>
      <c r="E16" s="171">
        <v>2</v>
      </c>
      <c r="F16" s="171">
        <v>121129</v>
      </c>
      <c r="G16" s="3">
        <f>0+[1]táj.2!G16</f>
        <v>0</v>
      </c>
      <c r="H16" s="3">
        <f>0+[1]táj.2!H16</f>
        <v>0</v>
      </c>
      <c r="I16" s="3">
        <f>0+[1]táj.2!I16</f>
        <v>0</v>
      </c>
      <c r="J16" s="3">
        <f>3000+[1]táj.2!J16</f>
        <v>3000</v>
      </c>
      <c r="K16" s="3">
        <f>0+[1]táj.2!K16</f>
        <v>0</v>
      </c>
      <c r="L16" s="3">
        <f>0+[1]táj.2!L16</f>
        <v>0</v>
      </c>
      <c r="M16" s="3">
        <f>0+[1]táj.2!M16</f>
        <v>0</v>
      </c>
      <c r="N16" s="3">
        <f>0+[1]táj.2!N16</f>
        <v>0</v>
      </c>
      <c r="O16" s="3">
        <f>0+[1]táj.2!O16</f>
        <v>0</v>
      </c>
      <c r="P16" s="3">
        <f>0+[1]táj.2!P16</f>
        <v>0</v>
      </c>
      <c r="Q16" s="3">
        <f t="shared" si="0"/>
        <v>3000</v>
      </c>
    </row>
    <row r="17" spans="1:17" ht="14.45" customHeight="1" x14ac:dyDescent="0.2">
      <c r="A17" s="2"/>
      <c r="B17" s="2"/>
      <c r="C17" s="166"/>
      <c r="D17" s="688" t="s">
        <v>561</v>
      </c>
      <c r="E17" s="171">
        <v>2</v>
      </c>
      <c r="F17" s="171">
        <v>121106</v>
      </c>
      <c r="G17" s="3">
        <f>0+[1]táj.2!G17</f>
        <v>0</v>
      </c>
      <c r="H17" s="3">
        <f>0+[1]táj.2!H17</f>
        <v>0</v>
      </c>
      <c r="I17" s="3">
        <f>0+[1]táj.2!I17</f>
        <v>0</v>
      </c>
      <c r="J17" s="3">
        <f>2000+[1]táj.2!J17</f>
        <v>2000</v>
      </c>
      <c r="K17" s="3">
        <f>0+[1]táj.2!K17</f>
        <v>0</v>
      </c>
      <c r="L17" s="3">
        <f>0+[1]táj.2!L17</f>
        <v>0</v>
      </c>
      <c r="M17" s="3">
        <f>0+[1]táj.2!M17</f>
        <v>0</v>
      </c>
      <c r="N17" s="3">
        <f>0+[1]táj.2!N17</f>
        <v>0</v>
      </c>
      <c r="O17" s="3">
        <f>0+[1]táj.2!O17</f>
        <v>0</v>
      </c>
      <c r="P17" s="3">
        <f>0+[1]táj.2!P17</f>
        <v>0</v>
      </c>
      <c r="Q17" s="3">
        <f t="shared" si="0"/>
        <v>2000</v>
      </c>
    </row>
    <row r="18" spans="1:17" ht="27" customHeight="1" x14ac:dyDescent="0.2">
      <c r="A18" s="2"/>
      <c r="B18" s="2"/>
      <c r="C18" s="166"/>
      <c r="D18" s="689" t="s">
        <v>562</v>
      </c>
      <c r="E18" s="171"/>
      <c r="F18" s="17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45" customHeight="1" x14ac:dyDescent="0.2">
      <c r="A19" s="2"/>
      <c r="B19" s="2"/>
      <c r="C19" s="166"/>
      <c r="D19" s="170" t="s">
        <v>563</v>
      </c>
      <c r="E19" s="171">
        <v>2</v>
      </c>
      <c r="F19" s="171">
        <v>121131</v>
      </c>
      <c r="G19" s="3">
        <f>0+[1]táj.2!G19</f>
        <v>0</v>
      </c>
      <c r="H19" s="3">
        <f>0+[1]táj.2!H19</f>
        <v>0</v>
      </c>
      <c r="I19" s="3">
        <f>0+[1]táj.2!I19</f>
        <v>0</v>
      </c>
      <c r="J19" s="3">
        <f>2000+[1]táj.2!J19</f>
        <v>2000</v>
      </c>
      <c r="K19" s="3">
        <f>0+[1]táj.2!K19</f>
        <v>0</v>
      </c>
      <c r="L19" s="3">
        <f>0+[1]táj.2!L19</f>
        <v>0</v>
      </c>
      <c r="M19" s="3">
        <f>0+[1]táj.2!M19</f>
        <v>0</v>
      </c>
      <c r="N19" s="3">
        <f>0+[1]táj.2!N19</f>
        <v>0</v>
      </c>
      <c r="O19" s="3">
        <f>0+[1]táj.2!O19</f>
        <v>0</v>
      </c>
      <c r="P19" s="3">
        <f>0+[1]táj.2!P19</f>
        <v>0</v>
      </c>
      <c r="Q19" s="3">
        <f>SUM(G19:P19)</f>
        <v>2000</v>
      </c>
    </row>
    <row r="20" spans="1:17" ht="14.45" customHeight="1" x14ac:dyDescent="0.2">
      <c r="A20" s="2"/>
      <c r="B20" s="2"/>
      <c r="C20" s="166"/>
      <c r="D20" s="170" t="s">
        <v>552</v>
      </c>
      <c r="E20" s="171"/>
      <c r="F20" s="17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45" customHeight="1" x14ac:dyDescent="0.2">
      <c r="A21" s="2"/>
      <c r="B21" s="2"/>
      <c r="C21" s="166"/>
      <c r="D21" s="170" t="s">
        <v>564</v>
      </c>
      <c r="E21" s="171">
        <v>2</v>
      </c>
      <c r="F21" s="171">
        <v>121130</v>
      </c>
      <c r="G21" s="3">
        <f>0+[1]táj.2!G21</f>
        <v>0</v>
      </c>
      <c r="H21" s="3">
        <f>0+[1]táj.2!H21</f>
        <v>0</v>
      </c>
      <c r="I21" s="3">
        <f>0+[1]táj.2!I21</f>
        <v>0</v>
      </c>
      <c r="J21" s="3">
        <f>2000+[1]táj.2!J21</f>
        <v>2000</v>
      </c>
      <c r="K21" s="3">
        <f>0+[1]táj.2!K21</f>
        <v>0</v>
      </c>
      <c r="L21" s="3">
        <f>0+[1]táj.2!L21</f>
        <v>0</v>
      </c>
      <c r="M21" s="3">
        <f>0+[1]táj.2!M21</f>
        <v>0</v>
      </c>
      <c r="N21" s="3">
        <f>0+[1]táj.2!N21</f>
        <v>0</v>
      </c>
      <c r="O21" s="3">
        <f>0+[1]táj.2!O21</f>
        <v>0</v>
      </c>
      <c r="P21" s="3">
        <f>0+[1]táj.2!P21</f>
        <v>0</v>
      </c>
      <c r="Q21" s="3">
        <f>SUM(G21:P21)</f>
        <v>2000</v>
      </c>
    </row>
    <row r="22" spans="1:17" ht="14.45" customHeight="1" x14ac:dyDescent="0.2">
      <c r="A22" s="2"/>
      <c r="B22" s="2"/>
      <c r="C22" s="166"/>
      <c r="D22" s="170" t="s">
        <v>555</v>
      </c>
      <c r="E22" s="171"/>
      <c r="F22" s="17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45" customHeight="1" x14ac:dyDescent="0.2">
      <c r="A23" s="2"/>
      <c r="B23" s="2"/>
      <c r="C23" s="166"/>
      <c r="D23" s="170" t="s">
        <v>565</v>
      </c>
      <c r="E23" s="171">
        <v>1</v>
      </c>
      <c r="F23" s="4">
        <v>121204</v>
      </c>
      <c r="G23" s="3">
        <f>0+[1]táj.2!G23</f>
        <v>0</v>
      </c>
      <c r="H23" s="3">
        <f>0+[1]táj.2!H23</f>
        <v>0</v>
      </c>
      <c r="I23" s="3">
        <f>0+[1]táj.2!I23</f>
        <v>0</v>
      </c>
      <c r="J23" s="3">
        <f>15000+[1]táj.2!J23</f>
        <v>15000</v>
      </c>
      <c r="K23" s="3">
        <f>0+[1]táj.2!K23</f>
        <v>0</v>
      </c>
      <c r="L23" s="3">
        <f>0+[1]táj.2!L23</f>
        <v>0</v>
      </c>
      <c r="M23" s="3">
        <f>0+[1]táj.2!M23</f>
        <v>0</v>
      </c>
      <c r="N23" s="3">
        <f>0+[1]táj.2!N23</f>
        <v>0</v>
      </c>
      <c r="O23" s="3">
        <f>0+[1]táj.2!O23</f>
        <v>0</v>
      </c>
      <c r="P23" s="3">
        <f>0+[1]táj.2!P23</f>
        <v>0</v>
      </c>
      <c r="Q23" s="3">
        <f>SUM(G23:P23)</f>
        <v>15000</v>
      </c>
    </row>
    <row r="24" spans="1:17" ht="14.45" customHeight="1" x14ac:dyDescent="0.2">
      <c r="A24" s="2"/>
      <c r="B24" s="2"/>
      <c r="C24" s="166"/>
      <c r="D24" s="172" t="s">
        <v>566</v>
      </c>
      <c r="E24" s="173">
        <v>1</v>
      </c>
      <c r="F24" s="4">
        <v>121132</v>
      </c>
      <c r="G24" s="3">
        <f>0+[1]táj.2!G24</f>
        <v>0</v>
      </c>
      <c r="H24" s="3">
        <f>0+[1]táj.2!H24</f>
        <v>0</v>
      </c>
      <c r="I24" s="3">
        <f>0+[1]táj.2!I24</f>
        <v>0</v>
      </c>
      <c r="J24" s="3">
        <f>250+[1]táj.2!J24</f>
        <v>250</v>
      </c>
      <c r="K24" s="3">
        <f>0+[1]táj.2!K24</f>
        <v>0</v>
      </c>
      <c r="L24" s="3">
        <f>0+[1]táj.2!L24</f>
        <v>0</v>
      </c>
      <c r="M24" s="3">
        <f>0+[1]táj.2!M24</f>
        <v>0</v>
      </c>
      <c r="N24" s="3">
        <f>0+[1]táj.2!N24</f>
        <v>0</v>
      </c>
      <c r="O24" s="3">
        <f>0+[1]táj.2!O24</f>
        <v>0</v>
      </c>
      <c r="P24" s="3">
        <f>0+[1]táj.2!P24</f>
        <v>0</v>
      </c>
      <c r="Q24" s="3">
        <f>SUM(G24:P24)</f>
        <v>250</v>
      </c>
    </row>
    <row r="25" spans="1:17" ht="14.45" customHeight="1" x14ac:dyDescent="0.2">
      <c r="A25" s="2"/>
      <c r="B25" s="2"/>
      <c r="C25" s="166"/>
      <c r="D25" s="174" t="s">
        <v>567</v>
      </c>
      <c r="E25" s="171">
        <v>1</v>
      </c>
      <c r="F25" s="4">
        <v>121203</v>
      </c>
      <c r="G25" s="3">
        <f>0+[1]táj.2!G25</f>
        <v>0</v>
      </c>
      <c r="H25" s="3">
        <f>0+[1]táj.2!H25</f>
        <v>0</v>
      </c>
      <c r="I25" s="3">
        <f>600+[1]táj.2!I25</f>
        <v>600</v>
      </c>
      <c r="J25" s="3">
        <f>4400+[1]táj.2!J25</f>
        <v>4400</v>
      </c>
      <c r="K25" s="3">
        <f>0+[1]táj.2!K25</f>
        <v>0</v>
      </c>
      <c r="L25" s="3">
        <f>0+[1]táj.2!L25</f>
        <v>0</v>
      </c>
      <c r="M25" s="3">
        <f>0+[1]táj.2!M25</f>
        <v>0</v>
      </c>
      <c r="N25" s="3">
        <f>0+[1]táj.2!N25</f>
        <v>0</v>
      </c>
      <c r="O25" s="3">
        <f>0+[1]táj.2!O25</f>
        <v>0</v>
      </c>
      <c r="P25" s="3">
        <f>0+[1]táj.2!P25</f>
        <v>0</v>
      </c>
      <c r="Q25" s="3">
        <f>SUM(G25:P25)</f>
        <v>5000</v>
      </c>
    </row>
    <row r="26" spans="1:17" ht="14.45" customHeight="1" x14ac:dyDescent="0.2">
      <c r="A26" s="2"/>
      <c r="B26" s="2"/>
      <c r="C26" s="166"/>
      <c r="D26" s="175" t="s">
        <v>568</v>
      </c>
      <c r="E26" s="171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4.45" customHeight="1" x14ac:dyDescent="0.2">
      <c r="A27" s="2"/>
      <c r="B27" s="2"/>
      <c r="C27" s="166"/>
      <c r="D27" s="170" t="s">
        <v>569</v>
      </c>
      <c r="E27" s="171">
        <v>2</v>
      </c>
      <c r="F27" s="4">
        <v>121504</v>
      </c>
      <c r="G27" s="3">
        <f>0+[1]táj.2!G27</f>
        <v>0</v>
      </c>
      <c r="H27" s="3">
        <f>0+[1]táj.2!H27</f>
        <v>0</v>
      </c>
      <c r="I27" s="3">
        <f>0+[1]táj.2!I27</f>
        <v>0</v>
      </c>
      <c r="J27" s="3">
        <f>4600+[1]táj.2!J27</f>
        <v>4600</v>
      </c>
      <c r="K27" s="3">
        <f>0+[1]táj.2!K27</f>
        <v>0</v>
      </c>
      <c r="L27" s="3">
        <f>0+[1]táj.2!L27</f>
        <v>0</v>
      </c>
      <c r="M27" s="3">
        <f>0+[1]táj.2!M27</f>
        <v>0</v>
      </c>
      <c r="N27" s="3">
        <f>0+[1]táj.2!N27</f>
        <v>0</v>
      </c>
      <c r="O27" s="3">
        <f>0+[1]táj.2!O27</f>
        <v>0</v>
      </c>
      <c r="P27" s="3">
        <f>0+[1]táj.2!P27</f>
        <v>0</v>
      </c>
      <c r="Q27" s="3">
        <f>SUM(G27:P27)</f>
        <v>4600</v>
      </c>
    </row>
    <row r="28" spans="1:17" ht="14.45" customHeight="1" x14ac:dyDescent="0.2">
      <c r="A28" s="2"/>
      <c r="B28" s="2"/>
      <c r="C28" s="166"/>
      <c r="D28" s="170" t="s">
        <v>509</v>
      </c>
      <c r="E28" s="171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2.6" customHeight="1" x14ac:dyDescent="0.2">
      <c r="A29" s="162"/>
      <c r="B29" s="176"/>
      <c r="C29" s="177"/>
      <c r="D29" s="7" t="s">
        <v>570</v>
      </c>
      <c r="E29" s="171">
        <v>1</v>
      </c>
      <c r="F29" s="7">
        <v>121403</v>
      </c>
      <c r="G29" s="3">
        <f>0+[1]táj.2!G29</f>
        <v>0</v>
      </c>
      <c r="H29" s="3">
        <f>0+[1]táj.2!H29</f>
        <v>0</v>
      </c>
      <c r="I29" s="3">
        <f>50+[1]táj.2!I29</f>
        <v>50</v>
      </c>
      <c r="J29" s="3">
        <f>0+[1]táj.2!J29</f>
        <v>0</v>
      </c>
      <c r="K29" s="3">
        <f>0+[1]táj.2!K29</f>
        <v>0</v>
      </c>
      <c r="L29" s="3">
        <f>0+[1]táj.2!L29</f>
        <v>0</v>
      </c>
      <c r="M29" s="3">
        <f>0+[1]táj.2!M29</f>
        <v>0</v>
      </c>
      <c r="N29" s="3">
        <f>0+[1]táj.2!N29</f>
        <v>0</v>
      </c>
      <c r="O29" s="3">
        <f>0+[1]táj.2!O29</f>
        <v>0</v>
      </c>
      <c r="P29" s="3">
        <f>0+[1]táj.2!P29</f>
        <v>0</v>
      </c>
      <c r="Q29" s="3">
        <f>SUM(G29:P29)</f>
        <v>50</v>
      </c>
    </row>
    <row r="30" spans="1:17" ht="12.6" customHeight="1" x14ac:dyDescent="0.2">
      <c r="A30" s="162"/>
      <c r="B30" s="176"/>
      <c r="C30" s="177"/>
      <c r="D30" s="7" t="s">
        <v>571</v>
      </c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2.6" customHeight="1" x14ac:dyDescent="0.2">
      <c r="A31" s="162"/>
      <c r="B31" s="162"/>
      <c r="C31" s="178"/>
      <c r="D31" s="175" t="s">
        <v>572</v>
      </c>
      <c r="E31" s="7">
        <v>1</v>
      </c>
      <c r="F31" s="7">
        <v>121301</v>
      </c>
      <c r="G31" s="3">
        <f>0+[1]táj.2!G31</f>
        <v>0</v>
      </c>
      <c r="H31" s="3">
        <f>0+[1]táj.2!H31</f>
        <v>0</v>
      </c>
      <c r="I31" s="3">
        <f>0+[1]táj.2!I31</f>
        <v>0</v>
      </c>
      <c r="J31" s="3">
        <f>0+[1]táj.2!J31</f>
        <v>0</v>
      </c>
      <c r="K31" s="3">
        <f>0+[1]táj.2!K31</f>
        <v>0</v>
      </c>
      <c r="L31" s="3">
        <f>0+[1]táj.2!L31</f>
        <v>0</v>
      </c>
      <c r="M31" s="3">
        <f>0+[1]táj.2!M31</f>
        <v>0</v>
      </c>
      <c r="N31" s="3">
        <f>0+[1]táj.2!N31</f>
        <v>0</v>
      </c>
      <c r="O31" s="3">
        <f>0+[1]táj.2!O31</f>
        <v>0</v>
      </c>
      <c r="P31" s="3">
        <f>0+[1]táj.2!P31</f>
        <v>0</v>
      </c>
      <c r="Q31" s="3">
        <f>SUM(G31:P31)</f>
        <v>0</v>
      </c>
    </row>
    <row r="32" spans="1:17" ht="12.6" customHeight="1" x14ac:dyDescent="0.2">
      <c r="A32" s="162"/>
      <c r="B32" s="162"/>
      <c r="C32" s="178"/>
      <c r="D32" s="179" t="s">
        <v>416</v>
      </c>
      <c r="E32" s="171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2.6" customHeight="1" x14ac:dyDescent="0.2">
      <c r="A33" s="162"/>
      <c r="B33" s="162"/>
      <c r="C33" s="178"/>
      <c r="D33" s="180" t="s">
        <v>573</v>
      </c>
      <c r="E33" s="171">
        <v>2</v>
      </c>
      <c r="F33" s="7">
        <v>221902</v>
      </c>
      <c r="G33" s="3">
        <f>0+[1]táj.2!G33</f>
        <v>0</v>
      </c>
      <c r="H33" s="3">
        <f>0+[1]táj.2!H33</f>
        <v>0</v>
      </c>
      <c r="I33" s="3">
        <f>29390+[1]táj.2!I33</f>
        <v>29390</v>
      </c>
      <c r="J33" s="3">
        <f>0+[1]táj.2!J33</f>
        <v>0</v>
      </c>
      <c r="K33" s="3">
        <f>0+[1]táj.2!K33</f>
        <v>0</v>
      </c>
      <c r="L33" s="3">
        <f>0+[1]táj.2!L33</f>
        <v>0</v>
      </c>
      <c r="M33" s="3">
        <f>0+[1]táj.2!M33</f>
        <v>0</v>
      </c>
      <c r="N33" s="3">
        <f>0+[1]táj.2!N33</f>
        <v>0</v>
      </c>
      <c r="O33" s="3">
        <f>0+[1]táj.2!O33</f>
        <v>0</v>
      </c>
      <c r="P33" s="3">
        <f>0+[1]táj.2!P33</f>
        <v>0</v>
      </c>
      <c r="Q33" s="3">
        <f>SUM(G33:P33)</f>
        <v>29390</v>
      </c>
    </row>
    <row r="34" spans="1:17" ht="12.6" customHeight="1" x14ac:dyDescent="0.2">
      <c r="A34" s="162"/>
      <c r="B34" s="162"/>
      <c r="C34" s="178"/>
      <c r="D34" s="181" t="s">
        <v>574</v>
      </c>
      <c r="E34" s="171">
        <v>2</v>
      </c>
      <c r="F34" s="7" t="s">
        <v>575</v>
      </c>
      <c r="G34" s="3">
        <f>0+[1]táj.2!G34</f>
        <v>0</v>
      </c>
      <c r="H34" s="3">
        <f>4900+[1]táj.2!H34</f>
        <v>4900</v>
      </c>
      <c r="I34" s="3">
        <f>200+[1]táj.2!I34</f>
        <v>200</v>
      </c>
      <c r="J34" s="3">
        <f>14900+[1]táj.2!J34</f>
        <v>14900</v>
      </c>
      <c r="K34" s="3">
        <f>0+[1]táj.2!K34</f>
        <v>0</v>
      </c>
      <c r="L34" s="3">
        <f>0+[1]táj.2!L34</f>
        <v>0</v>
      </c>
      <c r="M34" s="3">
        <f>0+[1]táj.2!M34</f>
        <v>0</v>
      </c>
      <c r="N34" s="3">
        <f>0+[1]táj.2!N34</f>
        <v>0</v>
      </c>
      <c r="O34" s="3">
        <f>0+[1]táj.2!O34</f>
        <v>0</v>
      </c>
      <c r="P34" s="3">
        <f>0+[1]táj.2!P34</f>
        <v>0</v>
      </c>
      <c r="Q34" s="3">
        <f>SUM(G34:P34)</f>
        <v>20000</v>
      </c>
    </row>
    <row r="35" spans="1:17" ht="14.1" customHeight="1" x14ac:dyDescent="0.2">
      <c r="A35" s="162"/>
      <c r="B35" s="162"/>
      <c r="C35" s="178"/>
      <c r="D35" s="167" t="s">
        <v>576</v>
      </c>
      <c r="E35" s="171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4.1" customHeight="1" x14ac:dyDescent="0.2">
      <c r="A36" s="162"/>
      <c r="B36" s="162"/>
      <c r="C36" s="178"/>
      <c r="D36" s="175" t="s">
        <v>577</v>
      </c>
      <c r="E36" s="171">
        <v>1</v>
      </c>
      <c r="F36" s="7">
        <v>121601</v>
      </c>
      <c r="G36" s="3">
        <f>0+[1]táj.2!G36</f>
        <v>0</v>
      </c>
      <c r="H36" s="3">
        <f>0+[1]táj.2!H36</f>
        <v>0</v>
      </c>
      <c r="I36" s="3">
        <f>300+[1]táj.2!I36</f>
        <v>300</v>
      </c>
      <c r="J36" s="3">
        <f>0+[1]táj.2!J36</f>
        <v>0</v>
      </c>
      <c r="K36" s="3">
        <f>200+[1]táj.2!K36</f>
        <v>200</v>
      </c>
      <c r="L36" s="3">
        <f>0+[1]táj.2!L36</f>
        <v>0</v>
      </c>
      <c r="M36" s="3">
        <f>0+[1]táj.2!M36</f>
        <v>0</v>
      </c>
      <c r="N36" s="3">
        <f>0+[1]táj.2!N36</f>
        <v>0</v>
      </c>
      <c r="O36" s="3">
        <f>0+[1]táj.2!O36</f>
        <v>0</v>
      </c>
      <c r="P36" s="3">
        <f>0+[1]táj.2!P36</f>
        <v>0</v>
      </c>
      <c r="Q36" s="3">
        <f>SUM(G36:P36)</f>
        <v>500</v>
      </c>
    </row>
    <row r="37" spans="1:17" ht="14.1" customHeight="1" x14ac:dyDescent="0.2">
      <c r="A37" s="162"/>
      <c r="B37" s="162"/>
      <c r="C37" s="178"/>
      <c r="D37" s="136" t="s">
        <v>578</v>
      </c>
      <c r="E37" s="171"/>
      <c r="F37" s="17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4.1" customHeight="1" x14ac:dyDescent="0.2">
      <c r="A38" s="162"/>
      <c r="B38" s="162"/>
      <c r="C38" s="178"/>
      <c r="D38" s="175" t="s">
        <v>579</v>
      </c>
      <c r="E38" s="134">
        <v>2</v>
      </c>
      <c r="F38" s="7">
        <v>121517</v>
      </c>
      <c r="G38" s="3">
        <f>0+[1]táj.2!G38</f>
        <v>0</v>
      </c>
      <c r="H38" s="3">
        <f>0+[1]táj.2!H38</f>
        <v>0</v>
      </c>
      <c r="I38" s="3">
        <f>0+[1]táj.2!I38</f>
        <v>0</v>
      </c>
      <c r="J38" s="3">
        <f>0+[1]táj.2!J38</f>
        <v>0</v>
      </c>
      <c r="K38" s="3">
        <f>3000+[1]táj.2!K38</f>
        <v>3000</v>
      </c>
      <c r="L38" s="3">
        <f>0+[1]táj.2!L38</f>
        <v>0</v>
      </c>
      <c r="M38" s="3">
        <f>0+[1]táj.2!M38</f>
        <v>0</v>
      </c>
      <c r="N38" s="3">
        <f>0+[1]táj.2!N38</f>
        <v>0</v>
      </c>
      <c r="O38" s="3">
        <f>0+[1]táj.2!O38</f>
        <v>0</v>
      </c>
      <c r="P38" s="3">
        <f>0+[1]táj.2!P38</f>
        <v>0</v>
      </c>
      <c r="Q38" s="3">
        <f>SUM(G38:P38)</f>
        <v>3000</v>
      </c>
    </row>
    <row r="39" spans="1:17" ht="13.5" x14ac:dyDescent="0.2">
      <c r="A39" s="182"/>
      <c r="B39" s="182"/>
      <c r="C39" s="183"/>
      <c r="D39" s="184" t="s">
        <v>580</v>
      </c>
      <c r="E39" s="185"/>
      <c r="F39" s="52"/>
      <c r="G39" s="186">
        <f>SUM(G7:G38)</f>
        <v>0</v>
      </c>
      <c r="H39" s="186">
        <f>SUM(H7:H38)</f>
        <v>4900</v>
      </c>
      <c r="I39" s="186">
        <f t="shared" ref="I39:Q39" si="1">SUM(I7:I38)</f>
        <v>30540</v>
      </c>
      <c r="J39" s="186">
        <f t="shared" si="1"/>
        <v>90350</v>
      </c>
      <c r="K39" s="186">
        <f t="shared" si="1"/>
        <v>3200</v>
      </c>
      <c r="L39" s="186">
        <f t="shared" si="1"/>
        <v>0</v>
      </c>
      <c r="M39" s="186">
        <f t="shared" si="1"/>
        <v>0</v>
      </c>
      <c r="N39" s="186">
        <f t="shared" si="1"/>
        <v>0</v>
      </c>
      <c r="O39" s="186">
        <f t="shared" si="1"/>
        <v>0</v>
      </c>
      <c r="P39" s="186">
        <f t="shared" si="1"/>
        <v>0</v>
      </c>
      <c r="Q39" s="186">
        <f t="shared" si="1"/>
        <v>128990</v>
      </c>
    </row>
    <row r="40" spans="1:17" ht="13.5" x14ac:dyDescent="0.2">
      <c r="A40" s="135"/>
      <c r="B40" s="135"/>
      <c r="C40" s="178"/>
      <c r="D40" s="175" t="s">
        <v>581</v>
      </c>
      <c r="E40" s="187"/>
      <c r="F40" s="7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ht="24" x14ac:dyDescent="0.2">
      <c r="A41" s="135"/>
      <c r="B41" s="135"/>
      <c r="C41" s="178" t="s">
        <v>582</v>
      </c>
      <c r="D41" s="690" t="s">
        <v>583</v>
      </c>
      <c r="E41" s="187"/>
      <c r="F41" s="7">
        <v>121401</v>
      </c>
      <c r="G41" s="145">
        <f>0+[1]táj.2!G41</f>
        <v>0</v>
      </c>
      <c r="H41" s="145">
        <f>0+[1]táj.2!H41</f>
        <v>0</v>
      </c>
      <c r="I41" s="145">
        <f>0+[1]táj.2!I41</f>
        <v>0</v>
      </c>
      <c r="J41" s="145">
        <f>0+[1]táj.2!J41</f>
        <v>0</v>
      </c>
      <c r="K41" s="145">
        <f>0+[1]táj.2!K41</f>
        <v>0</v>
      </c>
      <c r="L41" s="145">
        <f>0+[1]táj.2!L41</f>
        <v>0</v>
      </c>
      <c r="M41" s="145">
        <f>0+[1]táj.2!M41</f>
        <v>0</v>
      </c>
      <c r="N41" s="145">
        <f>10000+[1]táj.2!N41</f>
        <v>10000</v>
      </c>
      <c r="O41" s="145">
        <f>0+[1]táj.2!O41</f>
        <v>0</v>
      </c>
      <c r="P41" s="145">
        <f>0+[1]táj.2!P41</f>
        <v>0</v>
      </c>
      <c r="Q41" s="7">
        <f>SUM(G41:P41)</f>
        <v>10000</v>
      </c>
    </row>
    <row r="42" spans="1:17" ht="12.75" x14ac:dyDescent="0.2">
      <c r="A42" s="135"/>
      <c r="B42" s="135"/>
      <c r="C42" s="178"/>
      <c r="D42" s="175" t="s">
        <v>584</v>
      </c>
      <c r="E42" s="187"/>
      <c r="F42" s="7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7"/>
    </row>
    <row r="43" spans="1:17" ht="12.75" x14ac:dyDescent="0.2">
      <c r="A43" s="135"/>
      <c r="B43" s="135"/>
      <c r="C43" s="178" t="s">
        <v>585</v>
      </c>
      <c r="D43" s="691" t="s">
        <v>586</v>
      </c>
      <c r="E43" s="187"/>
      <c r="F43" s="7">
        <v>121405</v>
      </c>
      <c r="G43" s="145">
        <f>0+[1]táj.2!G43</f>
        <v>0</v>
      </c>
      <c r="H43" s="145">
        <f>0+[1]táj.2!H43</f>
        <v>0</v>
      </c>
      <c r="I43" s="145">
        <f>0+[1]táj.2!I43</f>
        <v>0</v>
      </c>
      <c r="J43" s="145">
        <f>0+[1]táj.2!J43</f>
        <v>0</v>
      </c>
      <c r="K43" s="145">
        <f>0+[1]táj.2!K43</f>
        <v>0</v>
      </c>
      <c r="L43" s="145">
        <f>0+[1]táj.2!L43</f>
        <v>0</v>
      </c>
      <c r="M43" s="145">
        <f>0+[1]táj.2!M43</f>
        <v>0</v>
      </c>
      <c r="N43" s="145">
        <f>1500+[1]táj.2!N43</f>
        <v>1500</v>
      </c>
      <c r="O43" s="145">
        <f>0+[1]táj.2!O43</f>
        <v>0</v>
      </c>
      <c r="P43" s="145">
        <f>0+[1]táj.2!P43</f>
        <v>0</v>
      </c>
      <c r="Q43" s="7">
        <f>SUM(G43:P43)</f>
        <v>1500</v>
      </c>
    </row>
    <row r="44" spans="1:17" ht="24" x14ac:dyDescent="0.2">
      <c r="A44" s="135"/>
      <c r="B44" s="135"/>
      <c r="C44" s="178" t="s">
        <v>587</v>
      </c>
      <c r="D44" s="692" t="s">
        <v>588</v>
      </c>
      <c r="E44" s="187"/>
      <c r="F44" s="7">
        <v>121402</v>
      </c>
      <c r="G44" s="145">
        <f>0+[1]táj.2!G44</f>
        <v>0</v>
      </c>
      <c r="H44" s="145">
        <f>0+[1]táj.2!H44</f>
        <v>0</v>
      </c>
      <c r="I44" s="145">
        <f>0+[1]táj.2!I44</f>
        <v>0</v>
      </c>
      <c r="J44" s="145">
        <f>0+[1]táj.2!J44</f>
        <v>0</v>
      </c>
      <c r="K44" s="145">
        <f>0+[1]táj.2!K44</f>
        <v>0</v>
      </c>
      <c r="L44" s="145">
        <f>0+[1]táj.2!L44</f>
        <v>0</v>
      </c>
      <c r="M44" s="145">
        <f>0+[1]táj.2!M44</f>
        <v>0</v>
      </c>
      <c r="N44" s="145">
        <f>13819+[1]táj.2!N44</f>
        <v>13819</v>
      </c>
      <c r="O44" s="145">
        <f>0+[1]táj.2!O44</f>
        <v>0</v>
      </c>
      <c r="P44" s="145">
        <f>0+[1]táj.2!P44</f>
        <v>0</v>
      </c>
      <c r="Q44" s="7">
        <f>SUM(G44:P44)</f>
        <v>13819</v>
      </c>
    </row>
    <row r="45" spans="1:17" ht="13.5" x14ac:dyDescent="0.2">
      <c r="A45" s="182"/>
      <c r="B45" s="182"/>
      <c r="C45" s="183"/>
      <c r="D45" s="184" t="s">
        <v>589</v>
      </c>
      <c r="E45" s="185"/>
      <c r="F45" s="52"/>
      <c r="G45" s="186">
        <f>SUM(G39:G44)</f>
        <v>0</v>
      </c>
      <c r="H45" s="186">
        <f>SUM(H39:H44)</f>
        <v>4900</v>
      </c>
      <c r="I45" s="186">
        <f t="shared" ref="I45:Q45" si="2">SUM(I39:I44)</f>
        <v>30540</v>
      </c>
      <c r="J45" s="186">
        <f t="shared" si="2"/>
        <v>90350</v>
      </c>
      <c r="K45" s="186">
        <f t="shared" si="2"/>
        <v>3200</v>
      </c>
      <c r="L45" s="186">
        <f t="shared" si="2"/>
        <v>0</v>
      </c>
      <c r="M45" s="186">
        <f t="shared" si="2"/>
        <v>0</v>
      </c>
      <c r="N45" s="186">
        <f t="shared" si="2"/>
        <v>25319</v>
      </c>
      <c r="O45" s="186">
        <f t="shared" si="2"/>
        <v>0</v>
      </c>
      <c r="P45" s="186">
        <f t="shared" si="2"/>
        <v>0</v>
      </c>
      <c r="Q45" s="186">
        <f t="shared" si="2"/>
        <v>154309</v>
      </c>
    </row>
    <row r="46" spans="1:17" ht="12" customHeight="1" x14ac:dyDescent="0.2">
      <c r="A46" s="162">
        <v>1</v>
      </c>
      <c r="B46" s="162">
        <v>13</v>
      </c>
      <c r="C46" s="162"/>
      <c r="D46" s="163" t="s">
        <v>225</v>
      </c>
      <c r="E46" s="9" t="s">
        <v>590</v>
      </c>
      <c r="F46" s="8"/>
      <c r="G46" s="8"/>
      <c r="H46" s="3"/>
      <c r="I46" s="3"/>
      <c r="J46" s="3"/>
      <c r="K46" s="3"/>
      <c r="L46" s="3"/>
      <c r="M46" s="8"/>
      <c r="N46" s="8"/>
      <c r="O46" s="8"/>
      <c r="P46" s="8"/>
      <c r="Q46" s="8"/>
    </row>
    <row r="47" spans="1:17" x14ac:dyDescent="0.2">
      <c r="A47" s="162"/>
      <c r="B47" s="162"/>
      <c r="C47" s="178"/>
      <c r="D47" s="189" t="s">
        <v>591</v>
      </c>
      <c r="E47" s="9"/>
      <c r="F47" s="8"/>
      <c r="G47" s="8"/>
      <c r="H47" s="3"/>
      <c r="I47" s="3"/>
      <c r="J47" s="3"/>
      <c r="K47" s="3"/>
      <c r="L47" s="3"/>
      <c r="M47" s="8"/>
      <c r="N47" s="8"/>
      <c r="O47" s="8"/>
      <c r="P47" s="8"/>
      <c r="Q47" s="8"/>
    </row>
    <row r="48" spans="1:17" ht="12" customHeight="1" x14ac:dyDescent="0.2">
      <c r="A48" s="162"/>
      <c r="B48" s="162"/>
      <c r="C48" s="178"/>
      <c r="D48" s="174" t="s">
        <v>592</v>
      </c>
      <c r="E48" s="190"/>
      <c r="F48" s="171"/>
      <c r="G48" s="7"/>
      <c r="H48" s="3"/>
      <c r="I48" s="3"/>
      <c r="J48" s="3"/>
      <c r="K48" s="3"/>
      <c r="L48" s="3"/>
      <c r="M48" s="7"/>
      <c r="N48" s="7"/>
      <c r="O48" s="7"/>
      <c r="P48" s="7"/>
      <c r="Q48" s="7"/>
    </row>
    <row r="49" spans="1:17" ht="27" customHeight="1" x14ac:dyDescent="0.2">
      <c r="A49" s="162"/>
      <c r="B49" s="162"/>
      <c r="C49" s="178"/>
      <c r="D49" s="136" t="s">
        <v>593</v>
      </c>
      <c r="E49" s="7">
        <v>2</v>
      </c>
      <c r="F49" s="7">
        <v>131112</v>
      </c>
      <c r="G49" s="7">
        <f>0+[1]táj.2!G49</f>
        <v>0</v>
      </c>
      <c r="H49" s="7">
        <f>0+[1]táj.2!H49</f>
        <v>0</v>
      </c>
      <c r="I49" s="7">
        <f>0+[1]táj.2!I49</f>
        <v>0</v>
      </c>
      <c r="J49" s="7">
        <f>0+[1]táj.2!J49</f>
        <v>0</v>
      </c>
      <c r="K49" s="7">
        <f>12000+[1]táj.2!K49</f>
        <v>12000</v>
      </c>
      <c r="L49" s="7">
        <f>0+[1]táj.2!L49</f>
        <v>0</v>
      </c>
      <c r="M49" s="7">
        <f>0+[1]táj.2!M49</f>
        <v>0</v>
      </c>
      <c r="N49" s="7">
        <f>0+[1]táj.2!N49</f>
        <v>0</v>
      </c>
      <c r="O49" s="7">
        <f>0+[1]táj.2!O49</f>
        <v>0</v>
      </c>
      <c r="P49" s="7">
        <f>0+[1]táj.2!P49</f>
        <v>0</v>
      </c>
      <c r="Q49" s="7">
        <f t="shared" ref="Q49:Q54" si="3">SUM(G49:P49)</f>
        <v>12000</v>
      </c>
    </row>
    <row r="50" spans="1:17" ht="24.75" customHeight="1" x14ac:dyDescent="0.2">
      <c r="A50" s="162"/>
      <c r="B50" s="162"/>
      <c r="C50" s="178"/>
      <c r="D50" s="191" t="s">
        <v>594</v>
      </c>
      <c r="E50" s="7">
        <v>2</v>
      </c>
      <c r="F50" s="7">
        <v>131123</v>
      </c>
      <c r="G50" s="7">
        <f>0+[1]táj.2!G50</f>
        <v>0</v>
      </c>
      <c r="H50" s="7">
        <f>0+[1]táj.2!H50</f>
        <v>0</v>
      </c>
      <c r="I50" s="7">
        <f>0+[1]táj.2!I50</f>
        <v>0</v>
      </c>
      <c r="J50" s="7">
        <f>0+[1]táj.2!J50</f>
        <v>0</v>
      </c>
      <c r="K50" s="7">
        <f>3000+[1]táj.2!K50</f>
        <v>3000</v>
      </c>
      <c r="L50" s="7">
        <f>0+[1]táj.2!L50</f>
        <v>0</v>
      </c>
      <c r="M50" s="7">
        <f>0+[1]táj.2!M50</f>
        <v>0</v>
      </c>
      <c r="N50" s="7">
        <f>0+[1]táj.2!N50</f>
        <v>0</v>
      </c>
      <c r="O50" s="7">
        <f>0+[1]táj.2!O50</f>
        <v>0</v>
      </c>
      <c r="P50" s="7">
        <f>0+[1]táj.2!P50</f>
        <v>0</v>
      </c>
      <c r="Q50" s="7">
        <f t="shared" si="3"/>
        <v>3000</v>
      </c>
    </row>
    <row r="51" spans="1:17" ht="15" customHeight="1" x14ac:dyDescent="0.2">
      <c r="A51" s="162"/>
      <c r="B51" s="162"/>
      <c r="C51" s="178"/>
      <c r="D51" s="191" t="s">
        <v>595</v>
      </c>
      <c r="E51" s="7">
        <v>2</v>
      </c>
      <c r="F51" s="7">
        <v>131122</v>
      </c>
      <c r="G51" s="7">
        <f>1173+[1]táj.2!G51</f>
        <v>906</v>
      </c>
      <c r="H51" s="7">
        <f>477+[1]táj.2!H51</f>
        <v>159</v>
      </c>
      <c r="I51" s="7">
        <f>0+[1]táj.2!I51</f>
        <v>435</v>
      </c>
      <c r="J51" s="7">
        <f>0+[1]táj.2!J51</f>
        <v>0</v>
      </c>
      <c r="K51" s="7">
        <f>350+[1]táj.2!K51</f>
        <v>500</v>
      </c>
      <c r="L51" s="7">
        <f>0+[1]táj.2!L51</f>
        <v>0</v>
      </c>
      <c r="M51" s="7">
        <f>0+[1]táj.2!M51</f>
        <v>0</v>
      </c>
      <c r="N51" s="7">
        <f>0+[1]táj.2!N51</f>
        <v>0</v>
      </c>
      <c r="O51" s="7">
        <f>0+[1]táj.2!O51</f>
        <v>0</v>
      </c>
      <c r="P51" s="7">
        <f>0+[1]táj.2!P51</f>
        <v>0</v>
      </c>
      <c r="Q51" s="7">
        <f t="shared" si="3"/>
        <v>2000</v>
      </c>
    </row>
    <row r="52" spans="1:17" ht="15" customHeight="1" x14ac:dyDescent="0.2">
      <c r="A52" s="162"/>
      <c r="B52" s="162"/>
      <c r="C52" s="178"/>
      <c r="D52" s="175" t="s">
        <v>596</v>
      </c>
      <c r="E52" s="7">
        <v>2</v>
      </c>
      <c r="F52" s="7">
        <v>131107</v>
      </c>
      <c r="G52" s="7">
        <f>0+[1]táj.2!G52</f>
        <v>0</v>
      </c>
      <c r="H52" s="7">
        <f>0+[1]táj.2!H52</f>
        <v>0</v>
      </c>
      <c r="I52" s="7">
        <f>0+[1]táj.2!I52</f>
        <v>0</v>
      </c>
      <c r="J52" s="7">
        <f>0+[1]táj.2!J52</f>
        <v>0</v>
      </c>
      <c r="K52" s="7">
        <f>55000+[1]táj.2!K52</f>
        <v>45000</v>
      </c>
      <c r="L52" s="7">
        <f>0+[1]táj.2!L52</f>
        <v>0</v>
      </c>
      <c r="M52" s="7">
        <f>0+[1]táj.2!M52</f>
        <v>0</v>
      </c>
      <c r="N52" s="7">
        <f>0+[1]táj.2!N52</f>
        <v>0</v>
      </c>
      <c r="O52" s="7">
        <f>0+[1]táj.2!O52</f>
        <v>0</v>
      </c>
      <c r="P52" s="7">
        <f>0+[1]táj.2!P52</f>
        <v>0</v>
      </c>
      <c r="Q52" s="7">
        <f t="shared" si="3"/>
        <v>45000</v>
      </c>
    </row>
    <row r="53" spans="1:17" ht="24" x14ac:dyDescent="0.2">
      <c r="A53" s="162"/>
      <c r="B53" s="162"/>
      <c r="C53" s="178"/>
      <c r="D53" s="192" t="s">
        <v>597</v>
      </c>
      <c r="E53" s="7">
        <v>2</v>
      </c>
      <c r="F53" s="7">
        <v>131103</v>
      </c>
      <c r="G53" s="7">
        <f>0+[1]táj.2!G53</f>
        <v>0</v>
      </c>
      <c r="H53" s="7">
        <f>0+[1]táj.2!H53</f>
        <v>0</v>
      </c>
      <c r="I53" s="7">
        <f>0+[1]táj.2!I53</f>
        <v>0</v>
      </c>
      <c r="J53" s="7">
        <f>0+[1]táj.2!J53</f>
        <v>0</v>
      </c>
      <c r="K53" s="7">
        <f>5000+[1]táj.2!K53</f>
        <v>5000</v>
      </c>
      <c r="L53" s="7">
        <f>0+[1]táj.2!L53</f>
        <v>0</v>
      </c>
      <c r="M53" s="7">
        <f>0+[1]táj.2!M53</f>
        <v>0</v>
      </c>
      <c r="N53" s="7">
        <f>0+[1]táj.2!N53</f>
        <v>0</v>
      </c>
      <c r="O53" s="7">
        <f>0+[1]táj.2!O53</f>
        <v>0</v>
      </c>
      <c r="P53" s="7">
        <f>0+[1]táj.2!P53</f>
        <v>0</v>
      </c>
      <c r="Q53" s="7">
        <f t="shared" si="3"/>
        <v>5000</v>
      </c>
    </row>
    <row r="54" spans="1:17" ht="15" customHeight="1" x14ac:dyDescent="0.2">
      <c r="A54" s="162"/>
      <c r="B54" s="162"/>
      <c r="C54" s="178"/>
      <c r="D54" s="175" t="s">
        <v>598</v>
      </c>
      <c r="E54" s="7">
        <v>2</v>
      </c>
      <c r="F54" s="7">
        <v>131128</v>
      </c>
      <c r="G54" s="7">
        <f>0+[1]táj.2!G54</f>
        <v>0</v>
      </c>
      <c r="H54" s="7">
        <f>0+[1]táj.2!H54</f>
        <v>0</v>
      </c>
      <c r="I54" s="7">
        <f>0+[1]táj.2!I54</f>
        <v>0</v>
      </c>
      <c r="J54" s="7">
        <f>0+[1]táj.2!J54</f>
        <v>0</v>
      </c>
      <c r="K54" s="7">
        <f>8500+[1]táj.2!K54</f>
        <v>0</v>
      </c>
      <c r="L54" s="7">
        <f>0+[1]táj.2!L54</f>
        <v>0</v>
      </c>
      <c r="M54" s="7">
        <f>0+[1]táj.2!M54</f>
        <v>0</v>
      </c>
      <c r="N54" s="7">
        <f>0+[1]táj.2!N54</f>
        <v>0</v>
      </c>
      <c r="O54" s="7">
        <f>0+[1]táj.2!O54</f>
        <v>0</v>
      </c>
      <c r="P54" s="7">
        <f>0+[1]táj.2!P54</f>
        <v>0</v>
      </c>
      <c r="Q54" s="7">
        <f t="shared" si="3"/>
        <v>0</v>
      </c>
    </row>
    <row r="55" spans="1:17" ht="14.1" customHeight="1" x14ac:dyDescent="0.2">
      <c r="A55" s="162"/>
      <c r="B55" s="162"/>
      <c r="C55" s="178"/>
      <c r="D55" s="193" t="s">
        <v>599</v>
      </c>
      <c r="E55" s="194"/>
      <c r="F55" s="19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24.95" customHeight="1" x14ac:dyDescent="0.2">
      <c r="A56" s="162"/>
      <c r="B56" s="162"/>
      <c r="C56" s="178"/>
      <c r="D56" s="191" t="s">
        <v>600</v>
      </c>
      <c r="E56" s="196"/>
      <c r="F56" s="19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 x14ac:dyDescent="0.2">
      <c r="A57" s="162"/>
      <c r="B57" s="162"/>
      <c r="C57" s="178"/>
      <c r="D57" s="175" t="s">
        <v>601</v>
      </c>
      <c r="E57" s="7">
        <v>2</v>
      </c>
      <c r="F57" s="7">
        <v>131201</v>
      </c>
      <c r="G57" s="7">
        <f>200+[1]táj.2!G57</f>
        <v>200</v>
      </c>
      <c r="H57" s="7">
        <f>80+[1]táj.2!H57</f>
        <v>80</v>
      </c>
      <c r="I57" s="7">
        <f>1220+[1]táj.2!I57</f>
        <v>1220</v>
      </c>
      <c r="J57" s="7">
        <f>0+[1]táj.2!J57</f>
        <v>0</v>
      </c>
      <c r="K57" s="7">
        <f>0+[1]táj.2!K57</f>
        <v>0</v>
      </c>
      <c r="L57" s="7">
        <f>0+[1]táj.2!L57</f>
        <v>0</v>
      </c>
      <c r="M57" s="7">
        <f>0+[1]táj.2!M57</f>
        <v>0</v>
      </c>
      <c r="N57" s="7">
        <f>0+[1]táj.2!N57</f>
        <v>0</v>
      </c>
      <c r="O57" s="7">
        <f>0+[1]táj.2!O57</f>
        <v>0</v>
      </c>
      <c r="P57" s="7">
        <f>0+[1]táj.2!P57</f>
        <v>0</v>
      </c>
      <c r="Q57" s="7">
        <f t="shared" ref="Q57:Q62" si="4">SUM(G57:P57)</f>
        <v>1500</v>
      </c>
    </row>
    <row r="58" spans="1:17" ht="15" customHeight="1" x14ac:dyDescent="0.2">
      <c r="A58" s="162"/>
      <c r="B58" s="162"/>
      <c r="C58" s="178"/>
      <c r="D58" s="175" t="s">
        <v>602</v>
      </c>
      <c r="E58" s="7">
        <v>2</v>
      </c>
      <c r="F58" s="7">
        <v>131202</v>
      </c>
      <c r="G58" s="7">
        <f>200+[1]táj.2!G58</f>
        <v>196</v>
      </c>
      <c r="H58" s="7">
        <f>80+[1]táj.2!H58</f>
        <v>84</v>
      </c>
      <c r="I58" s="7">
        <f>437+[1]táj.2!I58</f>
        <v>437</v>
      </c>
      <c r="J58" s="7">
        <f>0+[1]táj.2!J58</f>
        <v>0</v>
      </c>
      <c r="K58" s="7">
        <f>0+[1]táj.2!K58</f>
        <v>0</v>
      </c>
      <c r="L58" s="7">
        <f>0+[1]táj.2!L58</f>
        <v>0</v>
      </c>
      <c r="M58" s="7">
        <f>0+[1]táj.2!M58</f>
        <v>0</v>
      </c>
      <c r="N58" s="7">
        <f>0+[1]táj.2!N58</f>
        <v>0</v>
      </c>
      <c r="O58" s="7">
        <f>0+[1]táj.2!O58</f>
        <v>0</v>
      </c>
      <c r="P58" s="7">
        <f>0+[1]táj.2!P58</f>
        <v>0</v>
      </c>
      <c r="Q58" s="7">
        <f t="shared" si="4"/>
        <v>717</v>
      </c>
    </row>
    <row r="59" spans="1:17" ht="15" customHeight="1" x14ac:dyDescent="0.2">
      <c r="A59" s="162"/>
      <c r="B59" s="162"/>
      <c r="C59" s="178"/>
      <c r="D59" s="175" t="s">
        <v>603</v>
      </c>
      <c r="E59" s="7">
        <v>2</v>
      </c>
      <c r="F59" s="7">
        <v>131205</v>
      </c>
      <c r="G59" s="7">
        <f>0+[1]táj.2!G59</f>
        <v>0</v>
      </c>
      <c r="H59" s="7">
        <f>0+[1]táj.2!H59</f>
        <v>0</v>
      </c>
      <c r="I59" s="7">
        <f>0+[1]táj.2!I59</f>
        <v>0</v>
      </c>
      <c r="J59" s="7">
        <f>0+[1]táj.2!J59</f>
        <v>0</v>
      </c>
      <c r="K59" s="7">
        <f>1650+[1]táj.2!K59</f>
        <v>1650</v>
      </c>
      <c r="L59" s="7">
        <f>0+[1]táj.2!L59</f>
        <v>0</v>
      </c>
      <c r="M59" s="7">
        <f>0+[1]táj.2!M59</f>
        <v>0</v>
      </c>
      <c r="N59" s="7">
        <f>0+[1]táj.2!N59</f>
        <v>0</v>
      </c>
      <c r="O59" s="7">
        <f>0+[1]táj.2!O59</f>
        <v>0</v>
      </c>
      <c r="P59" s="7">
        <f>0+[1]táj.2!P59</f>
        <v>0</v>
      </c>
      <c r="Q59" s="7">
        <f t="shared" si="4"/>
        <v>1650</v>
      </c>
    </row>
    <row r="60" spans="1:17" ht="15" customHeight="1" x14ac:dyDescent="0.2">
      <c r="A60" s="162"/>
      <c r="B60" s="162"/>
      <c r="C60" s="178"/>
      <c r="D60" s="175" t="s">
        <v>604</v>
      </c>
      <c r="E60" s="7">
        <v>2</v>
      </c>
      <c r="F60" s="7">
        <v>131206</v>
      </c>
      <c r="G60" s="7">
        <f>0+[1]táj.2!G60</f>
        <v>0</v>
      </c>
      <c r="H60" s="7">
        <f>0+[1]táj.2!H60</f>
        <v>0</v>
      </c>
      <c r="I60" s="7">
        <f>0+[1]táj.2!I60</f>
        <v>0</v>
      </c>
      <c r="J60" s="7">
        <f>0+[1]táj.2!J60</f>
        <v>0</v>
      </c>
      <c r="K60" s="7">
        <f>400+[1]táj.2!K60</f>
        <v>400</v>
      </c>
      <c r="L60" s="7">
        <f>0+[1]táj.2!L60</f>
        <v>0</v>
      </c>
      <c r="M60" s="7">
        <f>0+[1]táj.2!M60</f>
        <v>0</v>
      </c>
      <c r="N60" s="7">
        <f>0+[1]táj.2!N60</f>
        <v>0</v>
      </c>
      <c r="O60" s="7">
        <f>0+[1]táj.2!O60</f>
        <v>0</v>
      </c>
      <c r="P60" s="7">
        <f>0+[1]táj.2!P60</f>
        <v>0</v>
      </c>
      <c r="Q60" s="7">
        <f t="shared" si="4"/>
        <v>400</v>
      </c>
    </row>
    <row r="61" spans="1:17" ht="15" customHeight="1" x14ac:dyDescent="0.2">
      <c r="A61" s="162"/>
      <c r="B61" s="162"/>
      <c r="C61" s="178"/>
      <c r="D61" s="174" t="s">
        <v>605</v>
      </c>
      <c r="E61" s="7">
        <v>2</v>
      </c>
      <c r="F61" s="7">
        <v>131209</v>
      </c>
      <c r="G61" s="7">
        <f>150+[1]táj.2!G61</f>
        <v>150</v>
      </c>
      <c r="H61" s="7">
        <f>61+[1]táj.2!H61</f>
        <v>61</v>
      </c>
      <c r="I61" s="7">
        <f>289+[1]táj.2!I61</f>
        <v>289</v>
      </c>
      <c r="J61" s="7">
        <f>0+[1]táj.2!J61</f>
        <v>0</v>
      </c>
      <c r="K61" s="7">
        <f>0+[1]táj.2!K61</f>
        <v>0</v>
      </c>
      <c r="L61" s="7">
        <f>0+[1]táj.2!L61</f>
        <v>0</v>
      </c>
      <c r="M61" s="7">
        <f>0+[1]táj.2!M61</f>
        <v>0</v>
      </c>
      <c r="N61" s="7">
        <f>0+[1]táj.2!N61</f>
        <v>0</v>
      </c>
      <c r="O61" s="7">
        <f>0+[1]táj.2!O61</f>
        <v>0</v>
      </c>
      <c r="P61" s="7">
        <f>0+[1]táj.2!P61</f>
        <v>0</v>
      </c>
      <c r="Q61" s="7">
        <f t="shared" si="4"/>
        <v>500</v>
      </c>
    </row>
    <row r="62" spans="1:17" ht="15" customHeight="1" x14ac:dyDescent="0.2">
      <c r="A62" s="162"/>
      <c r="B62" s="162"/>
      <c r="C62" s="178"/>
      <c r="D62" s="175" t="s">
        <v>606</v>
      </c>
      <c r="E62" s="7">
        <v>2</v>
      </c>
      <c r="F62" s="7">
        <v>131211</v>
      </c>
      <c r="G62" s="7">
        <f>0+[1]táj.2!G62</f>
        <v>0</v>
      </c>
      <c r="H62" s="7">
        <f>0+[1]táj.2!H62</f>
        <v>0</v>
      </c>
      <c r="I62" s="7">
        <f>965+[1]táj.2!I62</f>
        <v>965</v>
      </c>
      <c r="J62" s="7">
        <f>0+[1]táj.2!J62</f>
        <v>0</v>
      </c>
      <c r="K62" s="7">
        <f>0+[1]táj.2!K62</f>
        <v>0</v>
      </c>
      <c r="L62" s="7">
        <f>0+[1]táj.2!L62</f>
        <v>0</v>
      </c>
      <c r="M62" s="7">
        <f>0+[1]táj.2!M62</f>
        <v>0</v>
      </c>
      <c r="N62" s="7">
        <f>0+[1]táj.2!N62</f>
        <v>0</v>
      </c>
      <c r="O62" s="7">
        <f>0+[1]táj.2!O62</f>
        <v>0</v>
      </c>
      <c r="P62" s="7">
        <f>0+[1]táj.2!P62</f>
        <v>0</v>
      </c>
      <c r="Q62" s="7">
        <f t="shared" si="4"/>
        <v>965</v>
      </c>
    </row>
    <row r="63" spans="1:17" ht="14.1" customHeight="1" x14ac:dyDescent="0.2">
      <c r="A63" s="162"/>
      <c r="B63" s="162"/>
      <c r="C63" s="178"/>
      <c r="D63" s="175" t="s">
        <v>568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4.1" customHeight="1" x14ac:dyDescent="0.2">
      <c r="A64" s="162"/>
      <c r="B64" s="162"/>
      <c r="C64" s="178"/>
      <c r="D64" s="174" t="s">
        <v>607</v>
      </c>
      <c r="E64" s="7">
        <v>2</v>
      </c>
      <c r="F64" s="7">
        <v>131101</v>
      </c>
      <c r="G64" s="7">
        <f>0+[1]táj.2!G64</f>
        <v>0</v>
      </c>
      <c r="H64" s="7">
        <f>0+[1]táj.2!H64</f>
        <v>0</v>
      </c>
      <c r="I64" s="7">
        <f>0+[1]táj.2!I64</f>
        <v>0</v>
      </c>
      <c r="J64" s="7">
        <f>4500+[1]táj.2!J64</f>
        <v>4500</v>
      </c>
      <c r="K64" s="7">
        <f>6500+[1]táj.2!K64</f>
        <v>6500</v>
      </c>
      <c r="L64" s="7">
        <f>0+[1]táj.2!L64</f>
        <v>0</v>
      </c>
      <c r="M64" s="7">
        <f>0+[1]táj.2!M64</f>
        <v>0</v>
      </c>
      <c r="N64" s="7">
        <f>0+[1]táj.2!N64</f>
        <v>0</v>
      </c>
      <c r="O64" s="7">
        <f>0+[1]táj.2!O64</f>
        <v>0</v>
      </c>
      <c r="P64" s="7">
        <f>0+[1]táj.2!P64</f>
        <v>0</v>
      </c>
      <c r="Q64" s="7">
        <f>SUM(G64:P64)</f>
        <v>11000</v>
      </c>
    </row>
    <row r="65" spans="1:17" ht="14.1" customHeight="1" x14ac:dyDescent="0.2">
      <c r="A65" s="162"/>
      <c r="B65" s="162"/>
      <c r="C65" s="178"/>
      <c r="D65" s="174" t="s">
        <v>608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4.1" customHeight="1" x14ac:dyDescent="0.2">
      <c r="A66" s="162"/>
      <c r="B66" s="162"/>
      <c r="C66" s="178"/>
      <c r="D66" s="175" t="s">
        <v>609</v>
      </c>
      <c r="E66" s="7">
        <v>2</v>
      </c>
      <c r="F66" s="7">
        <v>131120</v>
      </c>
      <c r="G66" s="7">
        <f>0+[1]táj.2!G66</f>
        <v>0</v>
      </c>
      <c r="H66" s="7">
        <f>0+[1]táj.2!H66</f>
        <v>0</v>
      </c>
      <c r="I66" s="7">
        <f>178+[1]táj.2!I66</f>
        <v>178</v>
      </c>
      <c r="J66" s="7">
        <f>0+[1]táj.2!J66</f>
        <v>0</v>
      </c>
      <c r="K66" s="7">
        <f>0+[1]táj.2!K66</f>
        <v>0</v>
      </c>
      <c r="L66" s="7">
        <f>0+[1]táj.2!L66</f>
        <v>0</v>
      </c>
      <c r="M66" s="7">
        <f>0+[1]táj.2!M66</f>
        <v>0</v>
      </c>
      <c r="N66" s="7">
        <f>0+[1]táj.2!N66</f>
        <v>0</v>
      </c>
      <c r="O66" s="7">
        <f>0+[1]táj.2!O66</f>
        <v>0</v>
      </c>
      <c r="P66" s="7">
        <f>0+[1]táj.2!P66</f>
        <v>0</v>
      </c>
      <c r="Q66" s="7">
        <f>SUM(G66:P66)</f>
        <v>178</v>
      </c>
    </row>
    <row r="67" spans="1:17" ht="14.1" customHeight="1" x14ac:dyDescent="0.2">
      <c r="A67" s="162"/>
      <c r="B67" s="162"/>
      <c r="C67" s="178"/>
      <c r="D67" s="175" t="s">
        <v>610</v>
      </c>
      <c r="E67" s="171"/>
      <c r="F67" s="171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4.1" customHeight="1" x14ac:dyDescent="0.2">
      <c r="A68" s="162"/>
      <c r="B68" s="162"/>
      <c r="C68" s="178"/>
      <c r="D68" s="175" t="s">
        <v>611</v>
      </c>
      <c r="E68" s="7">
        <v>2</v>
      </c>
      <c r="F68" s="7">
        <v>131346</v>
      </c>
      <c r="G68" s="7">
        <f>356+[1]táj.2!G68</f>
        <v>356</v>
      </c>
      <c r="H68" s="7">
        <f>109+[1]táj.2!H68</f>
        <v>109</v>
      </c>
      <c r="I68" s="7">
        <f>285+[1]táj.2!I68</f>
        <v>285</v>
      </c>
      <c r="J68" s="7">
        <f>0+[1]táj.2!J68</f>
        <v>0</v>
      </c>
      <c r="K68" s="7">
        <f>750+[1]táj.2!K68</f>
        <v>750</v>
      </c>
      <c r="L68" s="7">
        <f>0+[1]táj.2!L68</f>
        <v>0</v>
      </c>
      <c r="M68" s="7">
        <f>0+[1]táj.2!M68</f>
        <v>0</v>
      </c>
      <c r="N68" s="7">
        <f>0+[1]táj.2!N68</f>
        <v>0</v>
      </c>
      <c r="O68" s="7">
        <f>0+[1]táj.2!O68</f>
        <v>0</v>
      </c>
      <c r="P68" s="7">
        <f>0+[1]táj.2!P68</f>
        <v>0</v>
      </c>
      <c r="Q68" s="7">
        <f t="shared" ref="Q68:Q85" si="5">SUM(G68:P68)</f>
        <v>1500</v>
      </c>
    </row>
    <row r="69" spans="1:17" ht="14.1" customHeight="1" x14ac:dyDescent="0.2">
      <c r="A69" s="162"/>
      <c r="B69" s="162"/>
      <c r="C69" s="178"/>
      <c r="D69" s="175" t="s">
        <v>612</v>
      </c>
      <c r="E69" s="7">
        <v>2</v>
      </c>
      <c r="F69" s="7">
        <v>131305</v>
      </c>
      <c r="G69" s="7">
        <f>0+[1]táj.2!G69</f>
        <v>0</v>
      </c>
      <c r="H69" s="7">
        <f>0+[1]táj.2!H69</f>
        <v>0</v>
      </c>
      <c r="I69" s="7">
        <f>0+[1]táj.2!I69</f>
        <v>0</v>
      </c>
      <c r="J69" s="7">
        <f>0+[1]táj.2!J69</f>
        <v>0</v>
      </c>
      <c r="K69" s="7">
        <f>0+[1]táj.2!K69</f>
        <v>0</v>
      </c>
      <c r="L69" s="7">
        <f>0+[1]táj.2!L69</f>
        <v>0</v>
      </c>
      <c r="M69" s="7">
        <f>0+[1]táj.2!M69</f>
        <v>0</v>
      </c>
      <c r="N69" s="7">
        <f>0+[1]táj.2!N69</f>
        <v>0</v>
      </c>
      <c r="O69" s="7">
        <f>0+[1]táj.2!O69</f>
        <v>0</v>
      </c>
      <c r="P69" s="7">
        <f>0+[1]táj.2!P69</f>
        <v>0</v>
      </c>
      <c r="Q69" s="7">
        <f t="shared" si="5"/>
        <v>0</v>
      </c>
    </row>
    <row r="70" spans="1:17" ht="14.1" customHeight="1" x14ac:dyDescent="0.2">
      <c r="A70" s="162"/>
      <c r="B70" s="162"/>
      <c r="C70" s="178"/>
      <c r="D70" s="175" t="s">
        <v>613</v>
      </c>
      <c r="E70" s="7">
        <v>2</v>
      </c>
      <c r="F70" s="7">
        <v>131306</v>
      </c>
      <c r="G70" s="7">
        <f>0+[1]táj.2!G70</f>
        <v>0</v>
      </c>
      <c r="H70" s="7">
        <f>0+[1]táj.2!H70</f>
        <v>0</v>
      </c>
      <c r="I70" s="7">
        <f>0+[1]táj.2!I70</f>
        <v>0</v>
      </c>
      <c r="J70" s="7">
        <f>0+[1]táj.2!J70</f>
        <v>0</v>
      </c>
      <c r="K70" s="7">
        <f>700+[1]táj.2!K70</f>
        <v>0</v>
      </c>
      <c r="L70" s="7">
        <f>0+[1]táj.2!L70</f>
        <v>0</v>
      </c>
      <c r="M70" s="7">
        <f>0+[1]táj.2!M70</f>
        <v>0</v>
      </c>
      <c r="N70" s="7">
        <f>0+[1]táj.2!N70</f>
        <v>0</v>
      </c>
      <c r="O70" s="7">
        <f>0+[1]táj.2!O70</f>
        <v>0</v>
      </c>
      <c r="P70" s="7">
        <f>0+[1]táj.2!P70</f>
        <v>0</v>
      </c>
      <c r="Q70" s="7">
        <f t="shared" si="5"/>
        <v>0</v>
      </c>
    </row>
    <row r="71" spans="1:17" ht="14.1" customHeight="1" x14ac:dyDescent="0.2">
      <c r="A71" s="162"/>
      <c r="B71" s="162"/>
      <c r="C71" s="178"/>
      <c r="D71" s="136" t="s">
        <v>614</v>
      </c>
      <c r="E71" s="7">
        <v>2</v>
      </c>
      <c r="F71" s="7">
        <v>131325</v>
      </c>
      <c r="G71" s="7">
        <f>0+[1]táj.2!G71</f>
        <v>0</v>
      </c>
      <c r="H71" s="7">
        <f>0+[1]táj.2!H71</f>
        <v>0</v>
      </c>
      <c r="I71" s="7">
        <f>1227+[1]táj.2!I71</f>
        <v>1227</v>
      </c>
      <c r="J71" s="7">
        <f>0+[1]táj.2!J71</f>
        <v>0</v>
      </c>
      <c r="K71" s="7">
        <f>0+[1]táj.2!K71</f>
        <v>0</v>
      </c>
      <c r="L71" s="7">
        <f>0+[1]táj.2!L71</f>
        <v>0</v>
      </c>
      <c r="M71" s="7">
        <f>0+[1]táj.2!M71</f>
        <v>0</v>
      </c>
      <c r="N71" s="7">
        <f>0+[1]táj.2!N71</f>
        <v>0</v>
      </c>
      <c r="O71" s="7">
        <f>0+[1]táj.2!O71</f>
        <v>0</v>
      </c>
      <c r="P71" s="7">
        <f>0+[1]táj.2!P71</f>
        <v>0</v>
      </c>
      <c r="Q71" s="7">
        <f t="shared" si="5"/>
        <v>1227</v>
      </c>
    </row>
    <row r="72" spans="1:17" ht="14.1" customHeight="1" x14ac:dyDescent="0.2">
      <c r="A72" s="162"/>
      <c r="B72" s="162"/>
      <c r="C72" s="178"/>
      <c r="D72" s="136" t="s">
        <v>1430</v>
      </c>
      <c r="E72" s="7">
        <v>2</v>
      </c>
      <c r="F72" s="7">
        <v>131321</v>
      </c>
      <c r="G72" s="7">
        <f>0+[1]táj.2!G72</f>
        <v>0</v>
      </c>
      <c r="H72" s="7">
        <f>0+[1]táj.2!H72</f>
        <v>0</v>
      </c>
      <c r="I72" s="7">
        <f>0+[1]táj.2!I72</f>
        <v>0</v>
      </c>
      <c r="J72" s="7">
        <f>0+[1]táj.2!J72</f>
        <v>0</v>
      </c>
      <c r="K72" s="7">
        <f>39948+[1]táj.2!K72</f>
        <v>39948</v>
      </c>
      <c r="L72" s="7">
        <f>0+[1]táj.2!L72</f>
        <v>0</v>
      </c>
      <c r="M72" s="7">
        <f>0+[1]táj.2!M72</f>
        <v>0</v>
      </c>
      <c r="N72" s="7">
        <f>0+[1]táj.2!N72</f>
        <v>0</v>
      </c>
      <c r="O72" s="7">
        <f>0+[1]táj.2!O72</f>
        <v>0</v>
      </c>
      <c r="P72" s="7">
        <f>0+[1]táj.2!P72</f>
        <v>0</v>
      </c>
      <c r="Q72" s="7">
        <f t="shared" si="5"/>
        <v>39948</v>
      </c>
    </row>
    <row r="73" spans="1:17" ht="23.25" customHeight="1" x14ac:dyDescent="0.2">
      <c r="A73" s="162"/>
      <c r="B73" s="162"/>
      <c r="C73" s="178"/>
      <c r="D73" s="136" t="s">
        <v>615</v>
      </c>
      <c r="E73" s="7">
        <v>2</v>
      </c>
      <c r="F73" s="7">
        <v>131313</v>
      </c>
      <c r="G73" s="7">
        <f>0+[1]táj.2!G73</f>
        <v>0</v>
      </c>
      <c r="H73" s="7">
        <f>0+[1]táj.2!H73</f>
        <v>0</v>
      </c>
      <c r="I73" s="7">
        <f>0+[1]táj.2!I73</f>
        <v>0</v>
      </c>
      <c r="J73" s="7">
        <f>0+[1]táj.2!J73</f>
        <v>0</v>
      </c>
      <c r="K73" s="7">
        <f>32500+[1]táj.2!K73</f>
        <v>32500</v>
      </c>
      <c r="L73" s="7">
        <f>0+[1]táj.2!L73</f>
        <v>0</v>
      </c>
      <c r="M73" s="7">
        <f>0+[1]táj.2!M73</f>
        <v>0</v>
      </c>
      <c r="N73" s="7">
        <f>0+[1]táj.2!N73</f>
        <v>0</v>
      </c>
      <c r="O73" s="7">
        <f>0+[1]táj.2!O73</f>
        <v>0</v>
      </c>
      <c r="P73" s="7">
        <f>0+[1]táj.2!P73</f>
        <v>0</v>
      </c>
      <c r="Q73" s="7">
        <f t="shared" si="5"/>
        <v>32500</v>
      </c>
    </row>
    <row r="74" spans="1:17" ht="14.1" customHeight="1" x14ac:dyDescent="0.2">
      <c r="A74" s="162"/>
      <c r="B74" s="162"/>
      <c r="C74" s="178"/>
      <c r="D74" s="191" t="s">
        <v>616</v>
      </c>
      <c r="E74" s="7">
        <v>2</v>
      </c>
      <c r="F74" s="7">
        <v>131501</v>
      </c>
      <c r="G74" s="7">
        <f>0+[1]táj.2!G74</f>
        <v>0</v>
      </c>
      <c r="H74" s="7">
        <f>0+[1]táj.2!H74</f>
        <v>0</v>
      </c>
      <c r="I74" s="7">
        <f>350+[1]táj.2!I74</f>
        <v>350</v>
      </c>
      <c r="J74" s="7">
        <f>0+[1]táj.2!J74</f>
        <v>0</v>
      </c>
      <c r="K74" s="7">
        <f>0+[1]táj.2!K74</f>
        <v>0</v>
      </c>
      <c r="L74" s="7">
        <f>0+[1]táj.2!L74</f>
        <v>0</v>
      </c>
      <c r="M74" s="7">
        <f>0+[1]táj.2!M74</f>
        <v>0</v>
      </c>
      <c r="N74" s="7">
        <f>0+[1]táj.2!N74</f>
        <v>0</v>
      </c>
      <c r="O74" s="7">
        <f>0+[1]táj.2!O74</f>
        <v>0</v>
      </c>
      <c r="P74" s="7">
        <f>0+[1]táj.2!P74</f>
        <v>0</v>
      </c>
      <c r="Q74" s="7">
        <f t="shared" si="5"/>
        <v>350</v>
      </c>
    </row>
    <row r="75" spans="1:17" ht="14.1" customHeight="1" x14ac:dyDescent="0.2">
      <c r="A75" s="162"/>
      <c r="B75" s="162"/>
      <c r="C75" s="178"/>
      <c r="D75" s="191" t="s">
        <v>617</v>
      </c>
      <c r="E75" s="7">
        <v>2</v>
      </c>
      <c r="F75" s="7">
        <v>131307</v>
      </c>
      <c r="G75" s="7">
        <f>0+[1]táj.2!G75</f>
        <v>0</v>
      </c>
      <c r="H75" s="7">
        <f>0+[1]táj.2!H75</f>
        <v>0</v>
      </c>
      <c r="I75" s="7">
        <f>0+[1]táj.2!I75</f>
        <v>0</v>
      </c>
      <c r="J75" s="7">
        <f>0+[1]táj.2!J75</f>
        <v>0</v>
      </c>
      <c r="K75" s="7">
        <f>600+[1]táj.2!K75</f>
        <v>0</v>
      </c>
      <c r="L75" s="7">
        <f>0+[1]táj.2!L75</f>
        <v>0</v>
      </c>
      <c r="M75" s="7">
        <f>0+[1]táj.2!M75</f>
        <v>0</v>
      </c>
      <c r="N75" s="7">
        <f>0+[1]táj.2!N75</f>
        <v>0</v>
      </c>
      <c r="O75" s="7">
        <f>0+[1]táj.2!O75</f>
        <v>0</v>
      </c>
      <c r="P75" s="7">
        <f>0+[1]táj.2!P75</f>
        <v>0</v>
      </c>
      <c r="Q75" s="7">
        <f t="shared" si="5"/>
        <v>0</v>
      </c>
    </row>
    <row r="76" spans="1:17" ht="15" customHeight="1" x14ac:dyDescent="0.2">
      <c r="A76" s="162"/>
      <c r="B76" s="162"/>
      <c r="C76" s="178"/>
      <c r="D76" s="197" t="s">
        <v>618</v>
      </c>
      <c r="E76" s="7">
        <v>2</v>
      </c>
      <c r="F76" s="7">
        <v>131340</v>
      </c>
      <c r="G76" s="7">
        <f>0+[1]táj.2!G76</f>
        <v>0</v>
      </c>
      <c r="H76" s="7">
        <f>0+[1]táj.2!H76</f>
        <v>0</v>
      </c>
      <c r="I76" s="7">
        <f>0+[1]táj.2!I76</f>
        <v>0</v>
      </c>
      <c r="J76" s="7">
        <f>0+[1]táj.2!J76</f>
        <v>0</v>
      </c>
      <c r="K76" s="7">
        <f>400+[1]táj.2!K76</f>
        <v>0</v>
      </c>
      <c r="L76" s="7">
        <f>0+[1]táj.2!L76</f>
        <v>0</v>
      </c>
      <c r="M76" s="7">
        <f>0+[1]táj.2!M76</f>
        <v>0</v>
      </c>
      <c r="N76" s="7">
        <f>0+[1]táj.2!N76</f>
        <v>0</v>
      </c>
      <c r="O76" s="7">
        <f>0+[1]táj.2!O76</f>
        <v>0</v>
      </c>
      <c r="P76" s="7">
        <f>0+[1]táj.2!P76</f>
        <v>0</v>
      </c>
      <c r="Q76" s="7">
        <f t="shared" si="5"/>
        <v>0</v>
      </c>
    </row>
    <row r="77" spans="1:17" ht="15" customHeight="1" x14ac:dyDescent="0.2">
      <c r="A77" s="162"/>
      <c r="B77" s="162"/>
      <c r="C77" s="178"/>
      <c r="D77" s="197" t="s">
        <v>619</v>
      </c>
      <c r="E77" s="7">
        <v>2</v>
      </c>
      <c r="F77" s="7">
        <v>131343</v>
      </c>
      <c r="G77" s="7">
        <f>0+[1]táj.2!G77</f>
        <v>0</v>
      </c>
      <c r="H77" s="7">
        <f>0+[1]táj.2!H77</f>
        <v>0</v>
      </c>
      <c r="I77" s="7">
        <f>0+[1]táj.2!I77</f>
        <v>0</v>
      </c>
      <c r="J77" s="7">
        <f>0+[1]táj.2!J77</f>
        <v>0</v>
      </c>
      <c r="K77" s="7">
        <f>400+[1]táj.2!K77</f>
        <v>400</v>
      </c>
      <c r="L77" s="7">
        <f>0+[1]táj.2!L77</f>
        <v>0</v>
      </c>
      <c r="M77" s="7">
        <f>0+[1]táj.2!M77</f>
        <v>0</v>
      </c>
      <c r="N77" s="7">
        <f>0+[1]táj.2!N77</f>
        <v>0</v>
      </c>
      <c r="O77" s="7">
        <f>0+[1]táj.2!O77</f>
        <v>0</v>
      </c>
      <c r="P77" s="7">
        <f>0+[1]táj.2!P77</f>
        <v>0</v>
      </c>
      <c r="Q77" s="7">
        <f t="shared" si="5"/>
        <v>400</v>
      </c>
    </row>
    <row r="78" spans="1:17" ht="15" customHeight="1" x14ac:dyDescent="0.2">
      <c r="A78" s="162"/>
      <c r="B78" s="162"/>
      <c r="C78" s="178"/>
      <c r="D78" s="197" t="s">
        <v>620</v>
      </c>
      <c r="E78" s="7">
        <v>2</v>
      </c>
      <c r="F78" s="7">
        <v>131344</v>
      </c>
      <c r="G78" s="7">
        <f>0+[1]táj.2!G78</f>
        <v>0</v>
      </c>
      <c r="H78" s="7">
        <f>0+[1]táj.2!H78</f>
        <v>0</v>
      </c>
      <c r="I78" s="7">
        <f>0+[1]táj.2!I78</f>
        <v>0</v>
      </c>
      <c r="J78" s="7">
        <f>0+[1]táj.2!J78</f>
        <v>0</v>
      </c>
      <c r="K78" s="7">
        <f>0+[1]táj.2!K78</f>
        <v>0</v>
      </c>
      <c r="L78" s="7">
        <f>0+[1]táj.2!L78</f>
        <v>0</v>
      </c>
      <c r="M78" s="7">
        <f>0+[1]táj.2!M78</f>
        <v>0</v>
      </c>
      <c r="N78" s="7">
        <f>0+[1]táj.2!N78</f>
        <v>0</v>
      </c>
      <c r="O78" s="7">
        <f>0+[1]táj.2!O78</f>
        <v>0</v>
      </c>
      <c r="P78" s="7">
        <f>0+[1]táj.2!P78</f>
        <v>0</v>
      </c>
      <c r="Q78" s="7">
        <f t="shared" si="5"/>
        <v>0</v>
      </c>
    </row>
    <row r="79" spans="1:17" ht="15" customHeight="1" x14ac:dyDescent="0.2">
      <c r="A79" s="162"/>
      <c r="B79" s="162"/>
      <c r="C79" s="178"/>
      <c r="D79" s="198" t="s">
        <v>621</v>
      </c>
      <c r="E79" s="7">
        <v>2</v>
      </c>
      <c r="F79" s="7">
        <v>131323</v>
      </c>
      <c r="G79" s="7">
        <f>0+[1]táj.2!G79</f>
        <v>0</v>
      </c>
      <c r="H79" s="7">
        <f>0+[1]táj.2!H79</f>
        <v>0</v>
      </c>
      <c r="I79" s="7">
        <f>0+[1]táj.2!I79</f>
        <v>0</v>
      </c>
      <c r="J79" s="7">
        <f>0+[1]táj.2!J79</f>
        <v>0</v>
      </c>
      <c r="K79" s="7">
        <f>500+[1]táj.2!K79</f>
        <v>0</v>
      </c>
      <c r="L79" s="7">
        <f>0+[1]táj.2!L79</f>
        <v>0</v>
      </c>
      <c r="M79" s="7">
        <f>0+[1]táj.2!M79</f>
        <v>0</v>
      </c>
      <c r="N79" s="7">
        <f>0+[1]táj.2!N79</f>
        <v>0</v>
      </c>
      <c r="O79" s="7">
        <f>0+[1]táj.2!O79</f>
        <v>0</v>
      </c>
      <c r="P79" s="7">
        <f>0+[1]táj.2!P79</f>
        <v>0</v>
      </c>
      <c r="Q79" s="7">
        <f t="shared" si="5"/>
        <v>0</v>
      </c>
    </row>
    <row r="80" spans="1:17" ht="15" customHeight="1" x14ac:dyDescent="0.2">
      <c r="A80" s="162"/>
      <c r="B80" s="162"/>
      <c r="C80" s="178"/>
      <c r="D80" s="198" t="s">
        <v>622</v>
      </c>
      <c r="E80" s="7">
        <v>2</v>
      </c>
      <c r="F80" s="7">
        <v>131310</v>
      </c>
      <c r="G80" s="7">
        <f>0+[1]táj.2!G80</f>
        <v>0</v>
      </c>
      <c r="H80" s="7">
        <f>0+[1]táj.2!H80</f>
        <v>0</v>
      </c>
      <c r="I80" s="7">
        <f>0+[1]táj.2!I80</f>
        <v>0</v>
      </c>
      <c r="J80" s="7">
        <f>0+[1]táj.2!J80</f>
        <v>0</v>
      </c>
      <c r="K80" s="7">
        <f>500+[1]táj.2!K80</f>
        <v>500</v>
      </c>
      <c r="L80" s="7">
        <f>0+[1]táj.2!L80</f>
        <v>0</v>
      </c>
      <c r="M80" s="7">
        <f>0+[1]táj.2!M80</f>
        <v>0</v>
      </c>
      <c r="N80" s="7">
        <f>0+[1]táj.2!N80</f>
        <v>0</v>
      </c>
      <c r="O80" s="7">
        <f>0+[1]táj.2!O80</f>
        <v>0</v>
      </c>
      <c r="P80" s="7">
        <f>0+[1]táj.2!P80</f>
        <v>0</v>
      </c>
      <c r="Q80" s="7">
        <f t="shared" si="5"/>
        <v>500</v>
      </c>
    </row>
    <row r="81" spans="1:17" ht="15" customHeight="1" x14ac:dyDescent="0.2">
      <c r="A81" s="162"/>
      <c r="B81" s="162"/>
      <c r="C81" s="178"/>
      <c r="D81" s="198" t="s">
        <v>95</v>
      </c>
      <c r="E81" s="7">
        <v>2</v>
      </c>
      <c r="F81" s="7">
        <v>131315</v>
      </c>
      <c r="G81" s="7">
        <f>0+[1]táj.2!G81</f>
        <v>0</v>
      </c>
      <c r="H81" s="7">
        <f>0+[1]táj.2!H81</f>
        <v>0</v>
      </c>
      <c r="I81" s="7">
        <f>0+[1]táj.2!I81</f>
        <v>0</v>
      </c>
      <c r="J81" s="7">
        <f>0+[1]táj.2!J81</f>
        <v>0</v>
      </c>
      <c r="K81" s="7">
        <f>0+[1]táj.2!K81</f>
        <v>0</v>
      </c>
      <c r="L81" s="7">
        <f>0+[1]táj.2!L81</f>
        <v>0</v>
      </c>
      <c r="M81" s="7">
        <f>0+[1]táj.2!M81</f>
        <v>0</v>
      </c>
      <c r="N81" s="7">
        <f>0+[1]táj.2!N81</f>
        <v>0</v>
      </c>
      <c r="O81" s="7">
        <f>0+[1]táj.2!O81</f>
        <v>0</v>
      </c>
      <c r="P81" s="7">
        <f>0+[1]táj.2!P81</f>
        <v>0</v>
      </c>
      <c r="Q81" s="7">
        <f t="shared" si="5"/>
        <v>0</v>
      </c>
    </row>
    <row r="82" spans="1:17" ht="15" customHeight="1" x14ac:dyDescent="0.2">
      <c r="A82" s="162"/>
      <c r="B82" s="162"/>
      <c r="C82" s="178"/>
      <c r="D82" s="198" t="s">
        <v>623</v>
      </c>
      <c r="E82" s="7">
        <v>2</v>
      </c>
      <c r="F82" s="7">
        <v>131316</v>
      </c>
      <c r="G82" s="7">
        <f>0+[1]táj.2!G82</f>
        <v>0</v>
      </c>
      <c r="H82" s="7">
        <f>0+[1]táj.2!H82</f>
        <v>0</v>
      </c>
      <c r="I82" s="7">
        <f>0+[1]táj.2!I82</f>
        <v>635</v>
      </c>
      <c r="J82" s="7">
        <f>0+[1]táj.2!J82</f>
        <v>0</v>
      </c>
      <c r="K82" s="7">
        <f>1000+[1]táj.2!K82</f>
        <v>0</v>
      </c>
      <c r="L82" s="7">
        <f>0+[1]táj.2!L82</f>
        <v>0</v>
      </c>
      <c r="M82" s="7">
        <f>0+[1]táj.2!M82</f>
        <v>0</v>
      </c>
      <c r="N82" s="7">
        <f>0+[1]táj.2!N82</f>
        <v>0</v>
      </c>
      <c r="O82" s="7">
        <f>0+[1]táj.2!O82</f>
        <v>0</v>
      </c>
      <c r="P82" s="7">
        <f>0+[1]táj.2!P82</f>
        <v>0</v>
      </c>
      <c r="Q82" s="7">
        <f t="shared" si="5"/>
        <v>635</v>
      </c>
    </row>
    <row r="83" spans="1:17" ht="15" customHeight="1" x14ac:dyDescent="0.2">
      <c r="A83" s="162"/>
      <c r="B83" s="162"/>
      <c r="C83" s="178"/>
      <c r="D83" s="197" t="s">
        <v>624</v>
      </c>
      <c r="E83" s="7">
        <v>2</v>
      </c>
      <c r="F83" s="7">
        <v>131348</v>
      </c>
      <c r="G83" s="7">
        <f>0+[1]táj.2!G83</f>
        <v>0</v>
      </c>
      <c r="H83" s="7">
        <f>0+[1]táj.2!H83</f>
        <v>0</v>
      </c>
      <c r="I83" s="7">
        <f>0+[1]táj.2!I83</f>
        <v>0</v>
      </c>
      <c r="J83" s="7">
        <f>0+[1]táj.2!J83</f>
        <v>0</v>
      </c>
      <c r="K83" s="7">
        <f>5000+[1]táj.2!K83</f>
        <v>2500</v>
      </c>
      <c r="L83" s="7">
        <f>0+[1]táj.2!L83</f>
        <v>0</v>
      </c>
      <c r="M83" s="7">
        <f>0+[1]táj.2!M83</f>
        <v>0</v>
      </c>
      <c r="N83" s="7">
        <f>0+[1]táj.2!N83</f>
        <v>0</v>
      </c>
      <c r="O83" s="7">
        <f>0+[1]táj.2!O83</f>
        <v>0</v>
      </c>
      <c r="P83" s="7">
        <f>0+[1]táj.2!P83</f>
        <v>0</v>
      </c>
      <c r="Q83" s="7">
        <f t="shared" si="5"/>
        <v>2500</v>
      </c>
    </row>
    <row r="84" spans="1:17" ht="23.25" customHeight="1" x14ac:dyDescent="0.2">
      <c r="A84" s="162"/>
      <c r="B84" s="162"/>
      <c r="C84" s="178"/>
      <c r="D84" s="199" t="s">
        <v>625</v>
      </c>
      <c r="E84" s="7">
        <v>2</v>
      </c>
      <c r="F84" s="7">
        <v>131345</v>
      </c>
      <c r="G84" s="7">
        <f>0+[1]táj.2!G84</f>
        <v>0</v>
      </c>
      <c r="H84" s="7">
        <f>0+[1]táj.2!H84</f>
        <v>0</v>
      </c>
      <c r="I84" s="7">
        <f>0+[1]táj.2!I84</f>
        <v>0</v>
      </c>
      <c r="J84" s="7">
        <f>0+[1]táj.2!J84</f>
        <v>0</v>
      </c>
      <c r="K84" s="7">
        <f>400+[1]táj.2!K84</f>
        <v>200</v>
      </c>
      <c r="L84" s="7">
        <f>0+[1]táj.2!L84</f>
        <v>0</v>
      </c>
      <c r="M84" s="7">
        <f>0+[1]táj.2!M84</f>
        <v>0</v>
      </c>
      <c r="N84" s="7">
        <f>0+[1]táj.2!N84</f>
        <v>0</v>
      </c>
      <c r="O84" s="7">
        <f>0+[1]táj.2!O84</f>
        <v>0</v>
      </c>
      <c r="P84" s="7">
        <f>0+[1]táj.2!P84</f>
        <v>0</v>
      </c>
      <c r="Q84" s="7">
        <f t="shared" si="5"/>
        <v>200</v>
      </c>
    </row>
    <row r="85" spans="1:17" ht="17.25" customHeight="1" x14ac:dyDescent="0.2">
      <c r="A85" s="162"/>
      <c r="B85" s="162"/>
      <c r="C85" s="178"/>
      <c r="D85" s="597" t="s">
        <v>626</v>
      </c>
      <c r="E85" s="187">
        <v>2</v>
      </c>
      <c r="F85" s="7">
        <v>131327</v>
      </c>
      <c r="G85" s="7">
        <f>0+[1]táj.2!G85</f>
        <v>0</v>
      </c>
      <c r="H85" s="7">
        <f>0+[1]táj.2!H85</f>
        <v>0</v>
      </c>
      <c r="I85" s="7">
        <f>0+[1]táj.2!I85</f>
        <v>0</v>
      </c>
      <c r="J85" s="7">
        <f>0+[1]táj.2!J85</f>
        <v>0</v>
      </c>
      <c r="K85" s="7">
        <f>500+[1]táj.2!K85</f>
        <v>250</v>
      </c>
      <c r="L85" s="7">
        <f>0+[1]táj.2!L85</f>
        <v>0</v>
      </c>
      <c r="M85" s="7">
        <f>0+[1]táj.2!M85</f>
        <v>0</v>
      </c>
      <c r="N85" s="7">
        <f>0+[1]táj.2!N85</f>
        <v>0</v>
      </c>
      <c r="O85" s="7">
        <f>0+[1]táj.2!O85</f>
        <v>0</v>
      </c>
      <c r="P85" s="7">
        <f>0+[1]táj.2!P85</f>
        <v>0</v>
      </c>
      <c r="Q85" s="7">
        <f t="shared" si="5"/>
        <v>250</v>
      </c>
    </row>
    <row r="86" spans="1:17" ht="14.1" customHeight="1" x14ac:dyDescent="0.2">
      <c r="A86" s="162"/>
      <c r="B86" s="162"/>
      <c r="C86" s="178"/>
      <c r="D86" s="7" t="s">
        <v>627</v>
      </c>
      <c r="E86" s="190"/>
      <c r="F86" s="17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24.95" customHeight="1" x14ac:dyDescent="0.2">
      <c r="A87" s="162"/>
      <c r="B87" s="162"/>
      <c r="C87" s="178"/>
      <c r="D87" s="136" t="s">
        <v>628</v>
      </c>
      <c r="E87" s="171">
        <v>2</v>
      </c>
      <c r="F87" s="7">
        <v>131401</v>
      </c>
      <c r="G87" s="7">
        <f>0+[1]táj.2!G87</f>
        <v>0</v>
      </c>
      <c r="H87" s="7">
        <f>0+[1]táj.2!H87</f>
        <v>0</v>
      </c>
      <c r="I87" s="7">
        <f>0+[1]táj.2!I87</f>
        <v>0</v>
      </c>
      <c r="J87" s="7">
        <f>0+[1]táj.2!J87</f>
        <v>0</v>
      </c>
      <c r="K87" s="7">
        <f>1800+[1]táj.2!K87</f>
        <v>1800</v>
      </c>
      <c r="L87" s="7">
        <f>0+[1]táj.2!L87</f>
        <v>0</v>
      </c>
      <c r="M87" s="7">
        <f>0+[1]táj.2!M87</f>
        <v>0</v>
      </c>
      <c r="N87" s="7">
        <f>0+[1]táj.2!N87</f>
        <v>0</v>
      </c>
      <c r="O87" s="7">
        <f>0+[1]táj.2!O87</f>
        <v>0</v>
      </c>
      <c r="P87" s="7">
        <f>0+[1]táj.2!P87</f>
        <v>0</v>
      </c>
      <c r="Q87" s="7">
        <f t="shared" ref="Q87:Q95" si="6">SUM(G87:P87)</f>
        <v>1800</v>
      </c>
    </row>
    <row r="88" spans="1:17" ht="14.1" customHeight="1" x14ac:dyDescent="0.2">
      <c r="A88" s="162"/>
      <c r="B88" s="162"/>
      <c r="C88" s="201"/>
      <c r="D88" s="202" t="s">
        <v>629</v>
      </c>
      <c r="E88" s="171">
        <v>2</v>
      </c>
      <c r="F88" s="7">
        <v>131402</v>
      </c>
      <c r="G88" s="7">
        <f>0+[1]táj.2!G88</f>
        <v>0</v>
      </c>
      <c r="H88" s="7">
        <f>0+[1]táj.2!H88</f>
        <v>0</v>
      </c>
      <c r="I88" s="7">
        <f>0+[1]táj.2!I88</f>
        <v>0</v>
      </c>
      <c r="J88" s="7">
        <f>0+[1]táj.2!J88</f>
        <v>0</v>
      </c>
      <c r="K88" s="7">
        <f>5000+[1]táj.2!K88</f>
        <v>5000</v>
      </c>
      <c r="L88" s="7">
        <f>0+[1]táj.2!L88</f>
        <v>0</v>
      </c>
      <c r="M88" s="7">
        <f>0+[1]táj.2!M88</f>
        <v>0</v>
      </c>
      <c r="N88" s="7">
        <f>0+[1]táj.2!N88</f>
        <v>0</v>
      </c>
      <c r="O88" s="7">
        <f>0+[1]táj.2!O88</f>
        <v>0</v>
      </c>
      <c r="P88" s="7">
        <f>0+[1]táj.2!P88</f>
        <v>0</v>
      </c>
      <c r="Q88" s="7">
        <f t="shared" si="6"/>
        <v>5000</v>
      </c>
    </row>
    <row r="89" spans="1:17" ht="14.1" customHeight="1" x14ac:dyDescent="0.2">
      <c r="A89" s="162"/>
      <c r="B89" s="162"/>
      <c r="C89" s="178"/>
      <c r="D89" s="175" t="s">
        <v>630</v>
      </c>
      <c r="E89" s="171">
        <v>2</v>
      </c>
      <c r="F89" s="7">
        <v>131403</v>
      </c>
      <c r="G89" s="7">
        <f>0+[1]táj.2!G89</f>
        <v>0</v>
      </c>
      <c r="H89" s="7">
        <f>0+[1]táj.2!H89</f>
        <v>0</v>
      </c>
      <c r="I89" s="7">
        <f>0+[1]táj.2!I89</f>
        <v>0</v>
      </c>
      <c r="J89" s="7">
        <f>0+[1]táj.2!J89</f>
        <v>0</v>
      </c>
      <c r="K89" s="7">
        <f>10500+[1]táj.2!K89</f>
        <v>5250</v>
      </c>
      <c r="L89" s="7">
        <f>0+[1]táj.2!L89</f>
        <v>0</v>
      </c>
      <c r="M89" s="7">
        <f>0+[1]táj.2!M89</f>
        <v>0</v>
      </c>
      <c r="N89" s="7">
        <f>0+[1]táj.2!N89</f>
        <v>0</v>
      </c>
      <c r="O89" s="7">
        <f>0+[1]táj.2!O89</f>
        <v>0</v>
      </c>
      <c r="P89" s="7">
        <f>0+[1]táj.2!P89</f>
        <v>0</v>
      </c>
      <c r="Q89" s="7">
        <f t="shared" si="6"/>
        <v>5250</v>
      </c>
    </row>
    <row r="90" spans="1:17" ht="14.1" customHeight="1" x14ac:dyDescent="0.2">
      <c r="A90" s="162"/>
      <c r="B90" s="162"/>
      <c r="C90" s="178"/>
      <c r="D90" s="175" t="s">
        <v>631</v>
      </c>
      <c r="E90" s="171">
        <v>2</v>
      </c>
      <c r="F90" s="7">
        <v>131404</v>
      </c>
      <c r="G90" s="7">
        <f>0+[1]táj.2!G90</f>
        <v>0</v>
      </c>
      <c r="H90" s="7">
        <f>0+[1]táj.2!H90</f>
        <v>0</v>
      </c>
      <c r="I90" s="7">
        <f>0+[1]táj.2!I90</f>
        <v>0</v>
      </c>
      <c r="J90" s="7">
        <f>0+[1]táj.2!J90</f>
        <v>0</v>
      </c>
      <c r="K90" s="7">
        <f>7000+[1]táj.2!K90</f>
        <v>3275</v>
      </c>
      <c r="L90" s="7">
        <f>0+[1]táj.2!L90</f>
        <v>0</v>
      </c>
      <c r="M90" s="7">
        <f>0+[1]táj.2!M90</f>
        <v>0</v>
      </c>
      <c r="N90" s="7">
        <f>0+[1]táj.2!N90</f>
        <v>0</v>
      </c>
      <c r="O90" s="7">
        <f>0+[1]táj.2!O90</f>
        <v>0</v>
      </c>
      <c r="P90" s="7">
        <f>0+[1]táj.2!P90</f>
        <v>0</v>
      </c>
      <c r="Q90" s="7">
        <f t="shared" si="6"/>
        <v>3275</v>
      </c>
    </row>
    <row r="91" spans="1:17" ht="14.1" customHeight="1" x14ac:dyDescent="0.2">
      <c r="A91" s="162"/>
      <c r="B91" s="162"/>
      <c r="C91" s="178"/>
      <c r="D91" s="175" t="s">
        <v>632</v>
      </c>
      <c r="E91" s="171">
        <v>2</v>
      </c>
      <c r="F91" s="7">
        <v>131330</v>
      </c>
      <c r="G91" s="7">
        <f>0+[1]táj.2!G91</f>
        <v>0</v>
      </c>
      <c r="H91" s="7">
        <f>0+[1]táj.2!H91</f>
        <v>0</v>
      </c>
      <c r="I91" s="7">
        <f>0+[1]táj.2!I91</f>
        <v>0</v>
      </c>
      <c r="J91" s="7">
        <f>0+[1]táj.2!J91</f>
        <v>0</v>
      </c>
      <c r="K91" s="7">
        <f>3000+[1]táj.2!K91</f>
        <v>2000</v>
      </c>
      <c r="L91" s="7">
        <f>0+[1]táj.2!L91</f>
        <v>0</v>
      </c>
      <c r="M91" s="7">
        <f>0+[1]táj.2!M91</f>
        <v>0</v>
      </c>
      <c r="N91" s="7">
        <f>0+[1]táj.2!N91</f>
        <v>0</v>
      </c>
      <c r="O91" s="7">
        <f>0+[1]táj.2!O91</f>
        <v>0</v>
      </c>
      <c r="P91" s="7">
        <f>0+[1]táj.2!P91</f>
        <v>0</v>
      </c>
      <c r="Q91" s="7">
        <f t="shared" si="6"/>
        <v>2000</v>
      </c>
    </row>
    <row r="92" spans="1:17" ht="14.1" customHeight="1" x14ac:dyDescent="0.2">
      <c r="A92" s="162"/>
      <c r="B92" s="162"/>
      <c r="C92" s="178"/>
      <c r="D92" s="175" t="s">
        <v>633</v>
      </c>
      <c r="E92" s="171">
        <v>2</v>
      </c>
      <c r="F92" s="7">
        <v>131507</v>
      </c>
      <c r="G92" s="7">
        <f>0+[1]táj.2!G92</f>
        <v>0</v>
      </c>
      <c r="H92" s="7">
        <f>0+[1]táj.2!H92</f>
        <v>0</v>
      </c>
      <c r="I92" s="7">
        <f>0+[1]táj.2!I92</f>
        <v>0</v>
      </c>
      <c r="J92" s="7">
        <f>0+[1]táj.2!J92</f>
        <v>0</v>
      </c>
      <c r="K92" s="7">
        <f>2000+[1]táj.2!K92</f>
        <v>2000</v>
      </c>
      <c r="L92" s="7">
        <f>0+[1]táj.2!L92</f>
        <v>0</v>
      </c>
      <c r="M92" s="7">
        <f>0+[1]táj.2!M92</f>
        <v>0</v>
      </c>
      <c r="N92" s="7">
        <f>0+[1]táj.2!N92</f>
        <v>0</v>
      </c>
      <c r="O92" s="7">
        <f>0+[1]táj.2!O92</f>
        <v>0</v>
      </c>
      <c r="P92" s="7">
        <f>0+[1]táj.2!P92</f>
        <v>0</v>
      </c>
      <c r="Q92" s="7">
        <f t="shared" si="6"/>
        <v>2000</v>
      </c>
    </row>
    <row r="93" spans="1:17" ht="14.1" customHeight="1" x14ac:dyDescent="0.2">
      <c r="A93" s="162"/>
      <c r="B93" s="162"/>
      <c r="C93" s="201"/>
      <c r="D93" s="203" t="s">
        <v>634</v>
      </c>
      <c r="E93" s="171">
        <v>2</v>
      </c>
      <c r="F93" s="7">
        <v>171943</v>
      </c>
      <c r="G93" s="7">
        <f>0+[1]táj.2!G93</f>
        <v>0</v>
      </c>
      <c r="H93" s="7">
        <f>0+[1]táj.2!H93</f>
        <v>0</v>
      </c>
      <c r="I93" s="7">
        <f>0+[1]táj.2!I93</f>
        <v>0</v>
      </c>
      <c r="J93" s="7">
        <f>0+[1]táj.2!J93</f>
        <v>0</v>
      </c>
      <c r="K93" s="7">
        <f>400+[1]táj.2!K93</f>
        <v>400</v>
      </c>
      <c r="L93" s="7">
        <f>0+[1]táj.2!L93</f>
        <v>0</v>
      </c>
      <c r="M93" s="7">
        <f>0+[1]táj.2!M93</f>
        <v>0</v>
      </c>
      <c r="N93" s="7">
        <f>0+[1]táj.2!N93</f>
        <v>0</v>
      </c>
      <c r="O93" s="7">
        <f>0+[1]táj.2!O93</f>
        <v>0</v>
      </c>
      <c r="P93" s="7">
        <f>0+[1]táj.2!P93</f>
        <v>0</v>
      </c>
      <c r="Q93" s="7">
        <f t="shared" si="6"/>
        <v>400</v>
      </c>
    </row>
    <row r="94" spans="1:17" ht="14.1" customHeight="1" x14ac:dyDescent="0.2">
      <c r="A94" s="162"/>
      <c r="B94" s="162"/>
      <c r="C94" s="162"/>
      <c r="D94" s="175" t="s">
        <v>635</v>
      </c>
      <c r="E94" s="171">
        <v>2</v>
      </c>
      <c r="F94" s="7">
        <v>131409</v>
      </c>
      <c r="G94" s="7">
        <f>0+[1]táj.2!G94</f>
        <v>0</v>
      </c>
      <c r="H94" s="7">
        <f>0+[1]táj.2!H94</f>
        <v>0</v>
      </c>
      <c r="I94" s="7">
        <f>0+[1]táj.2!I94</f>
        <v>0</v>
      </c>
      <c r="J94" s="7">
        <f>0+[1]táj.2!J94</f>
        <v>0</v>
      </c>
      <c r="K94" s="7">
        <f>0+[1]táj.2!K94</f>
        <v>0</v>
      </c>
      <c r="L94" s="7">
        <f>0+[1]táj.2!L94</f>
        <v>0</v>
      </c>
      <c r="M94" s="7">
        <f>0+[1]táj.2!M94</f>
        <v>0</v>
      </c>
      <c r="N94" s="7">
        <f>0+[1]táj.2!N94</f>
        <v>0</v>
      </c>
      <c r="O94" s="7">
        <f>0+[1]táj.2!O94</f>
        <v>0</v>
      </c>
      <c r="P94" s="7">
        <f>0+[1]táj.2!P94</f>
        <v>0</v>
      </c>
      <c r="Q94" s="7">
        <f t="shared" si="6"/>
        <v>0</v>
      </c>
    </row>
    <row r="95" spans="1:17" ht="14.1" customHeight="1" x14ac:dyDescent="0.2">
      <c r="A95" s="162"/>
      <c r="B95" s="162"/>
      <c r="C95" s="162"/>
      <c r="D95" s="175" t="s">
        <v>636</v>
      </c>
      <c r="E95" s="171">
        <v>2</v>
      </c>
      <c r="F95" s="7">
        <v>131410</v>
      </c>
      <c r="G95" s="7">
        <f>0+[1]táj.2!G95</f>
        <v>0</v>
      </c>
      <c r="H95" s="7">
        <f>0+[1]táj.2!H95</f>
        <v>0</v>
      </c>
      <c r="I95" s="7">
        <f>0+[1]táj.2!I95</f>
        <v>0</v>
      </c>
      <c r="J95" s="7">
        <f>0+[1]táj.2!J95</f>
        <v>0</v>
      </c>
      <c r="K95" s="7">
        <f>300+[1]táj.2!K95</f>
        <v>300</v>
      </c>
      <c r="L95" s="7">
        <f>0+[1]táj.2!L95</f>
        <v>0</v>
      </c>
      <c r="M95" s="7">
        <f>0+[1]táj.2!M95</f>
        <v>0</v>
      </c>
      <c r="N95" s="7">
        <f>0+[1]táj.2!N95</f>
        <v>0</v>
      </c>
      <c r="O95" s="7">
        <f>0+[1]táj.2!O95</f>
        <v>0</v>
      </c>
      <c r="P95" s="7">
        <f>0+[1]táj.2!P95</f>
        <v>0</v>
      </c>
      <c r="Q95" s="7">
        <f t="shared" si="6"/>
        <v>300</v>
      </c>
    </row>
    <row r="96" spans="1:17" ht="14.1" customHeight="1" x14ac:dyDescent="0.2">
      <c r="A96" s="162"/>
      <c r="B96" s="162"/>
      <c r="C96" s="178"/>
      <c r="D96" s="191" t="s">
        <v>637</v>
      </c>
      <c r="E96" s="196"/>
      <c r="F96" s="19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14.1" customHeight="1" x14ac:dyDescent="0.2">
      <c r="A97" s="162"/>
      <c r="B97" s="162"/>
      <c r="C97" s="178"/>
      <c r="D97" s="191" t="s">
        <v>638</v>
      </c>
      <c r="E97" s="204">
        <v>2</v>
      </c>
      <c r="F97" s="25">
        <v>131502</v>
      </c>
      <c r="G97" s="7">
        <f>0+[1]táj.2!G97</f>
        <v>0</v>
      </c>
      <c r="H97" s="7">
        <f>0+[1]táj.2!H97</f>
        <v>0</v>
      </c>
      <c r="I97" s="7">
        <f>0+[1]táj.2!I97</f>
        <v>0</v>
      </c>
      <c r="J97" s="7">
        <f>600+[1]táj.2!J97</f>
        <v>600</v>
      </c>
      <c r="K97" s="7">
        <f>0+[1]táj.2!K97</f>
        <v>0</v>
      </c>
      <c r="L97" s="7">
        <f>0+[1]táj.2!L97</f>
        <v>0</v>
      </c>
      <c r="M97" s="7">
        <f>0+[1]táj.2!M97</f>
        <v>0</v>
      </c>
      <c r="N97" s="7">
        <f>0+[1]táj.2!N97</f>
        <v>0</v>
      </c>
      <c r="O97" s="7">
        <f>0+[1]táj.2!O97</f>
        <v>0</v>
      </c>
      <c r="P97" s="7">
        <f>0+[1]táj.2!P97</f>
        <v>0</v>
      </c>
      <c r="Q97" s="7">
        <f>SUM(G97:P97)</f>
        <v>600</v>
      </c>
    </row>
    <row r="98" spans="1:17" ht="14.1" customHeight="1" x14ac:dyDescent="0.2">
      <c r="A98" s="162"/>
      <c r="B98" s="162"/>
      <c r="C98" s="178"/>
      <c r="D98" s="191" t="s">
        <v>1500</v>
      </c>
      <c r="E98" s="730">
        <v>1</v>
      </c>
      <c r="F98" s="25">
        <v>131508</v>
      </c>
      <c r="G98" s="7">
        <f>0+[1]táj.2!G98</f>
        <v>0</v>
      </c>
      <c r="H98" s="7">
        <f>0+[1]táj.2!H98</f>
        <v>0</v>
      </c>
      <c r="I98" s="7">
        <f>0+[1]táj.2!I98</f>
        <v>0</v>
      </c>
      <c r="J98" s="7">
        <f>0+[1]táj.2!J98</f>
        <v>0</v>
      </c>
      <c r="K98" s="7">
        <f>0+[1]táj.2!K98</f>
        <v>288500</v>
      </c>
      <c r="L98" s="7">
        <f>0+[1]táj.2!L98</f>
        <v>0</v>
      </c>
      <c r="M98" s="7">
        <f>0+[1]táj.2!M98</f>
        <v>0</v>
      </c>
      <c r="N98" s="7">
        <f>0+[1]táj.2!N98</f>
        <v>0</v>
      </c>
      <c r="O98" s="7">
        <f>0+[1]táj.2!O98</f>
        <v>0</v>
      </c>
      <c r="P98" s="7">
        <f>0+[1]táj.2!P98</f>
        <v>0</v>
      </c>
      <c r="Q98" s="7">
        <f>SUM(G98:P98)</f>
        <v>288500</v>
      </c>
    </row>
    <row r="99" spans="1:17" ht="14.1" customHeight="1" x14ac:dyDescent="0.2">
      <c r="A99" s="162"/>
      <c r="B99" s="162"/>
      <c r="C99" s="178"/>
      <c r="D99" s="191" t="s">
        <v>1501</v>
      </c>
      <c r="E99" s="730">
        <v>1</v>
      </c>
      <c r="F99" s="25">
        <v>131509</v>
      </c>
      <c r="G99" s="7">
        <f>0+[1]táj.2!G99</f>
        <v>0</v>
      </c>
      <c r="H99" s="7">
        <f>0+[1]táj.2!H99</f>
        <v>0</v>
      </c>
      <c r="I99" s="7">
        <f>0+[1]táj.2!I99</f>
        <v>0</v>
      </c>
      <c r="J99" s="7">
        <f>0+[1]táj.2!J99</f>
        <v>0</v>
      </c>
      <c r="K99" s="7">
        <f>0+[1]táj.2!K99</f>
        <v>65000</v>
      </c>
      <c r="L99" s="7">
        <f>0+[1]táj.2!L99</f>
        <v>0</v>
      </c>
      <c r="M99" s="7">
        <f>0+[1]táj.2!M99</f>
        <v>0</v>
      </c>
      <c r="N99" s="7">
        <f>0+[1]táj.2!N99</f>
        <v>0</v>
      </c>
      <c r="O99" s="7">
        <f>0+[1]táj.2!O99</f>
        <v>0</v>
      </c>
      <c r="P99" s="7">
        <f>0+[1]táj.2!P99</f>
        <v>0</v>
      </c>
      <c r="Q99" s="7">
        <f>SUM(G99:P99)</f>
        <v>65000</v>
      </c>
    </row>
    <row r="100" spans="1:17" ht="14.1" customHeight="1" x14ac:dyDescent="0.2">
      <c r="A100" s="162"/>
      <c r="B100" s="162"/>
      <c r="C100" s="178"/>
      <c r="D100" s="598" t="s">
        <v>639</v>
      </c>
      <c r="E100" s="205"/>
      <c r="F100" s="20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4.1" customHeight="1" x14ac:dyDescent="0.2">
      <c r="A101" s="162"/>
      <c r="B101" s="162"/>
      <c r="C101" s="178"/>
      <c r="D101" s="4" t="s">
        <v>640</v>
      </c>
      <c r="E101" s="190"/>
      <c r="F101" s="171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4.1" customHeight="1" x14ac:dyDescent="0.2">
      <c r="A102" s="162"/>
      <c r="B102" s="162"/>
      <c r="C102" s="178"/>
      <c r="D102" s="170" t="s">
        <v>641</v>
      </c>
      <c r="E102" s="171">
        <v>1</v>
      </c>
      <c r="F102" s="7">
        <v>131703</v>
      </c>
      <c r="G102" s="7">
        <f>0+[1]táj.2!G102</f>
        <v>0</v>
      </c>
      <c r="H102" s="7">
        <f>0+[1]táj.2!H102</f>
        <v>0</v>
      </c>
      <c r="I102" s="7">
        <f>10500+[1]táj.2!I102</f>
        <v>10500</v>
      </c>
      <c r="J102" s="7">
        <f>0+[1]táj.2!J102</f>
        <v>0</v>
      </c>
      <c r="K102" s="7">
        <f>0+[1]táj.2!K102</f>
        <v>0</v>
      </c>
      <c r="L102" s="7">
        <f>0+[1]táj.2!L102</f>
        <v>0</v>
      </c>
      <c r="M102" s="7">
        <f>0+[1]táj.2!M102</f>
        <v>0</v>
      </c>
      <c r="N102" s="7">
        <f>0+[1]táj.2!N102</f>
        <v>0</v>
      </c>
      <c r="O102" s="7">
        <f>0+[1]táj.2!O102</f>
        <v>0</v>
      </c>
      <c r="P102" s="7">
        <f>0+[1]táj.2!P102</f>
        <v>0</v>
      </c>
      <c r="Q102" s="7">
        <f>SUM(G102:P102)</f>
        <v>10500</v>
      </c>
    </row>
    <row r="103" spans="1:17" ht="15" customHeight="1" x14ac:dyDescent="0.2">
      <c r="A103" s="162"/>
      <c r="B103" s="162"/>
      <c r="C103" s="178"/>
      <c r="D103" s="174" t="s">
        <v>642</v>
      </c>
      <c r="E103" s="171">
        <v>1</v>
      </c>
      <c r="F103" s="7">
        <v>121319</v>
      </c>
      <c r="G103" s="7">
        <f>0+[1]táj.2!G103</f>
        <v>0</v>
      </c>
      <c r="H103" s="7">
        <f>0+[1]táj.2!H103</f>
        <v>0</v>
      </c>
      <c r="I103" s="7">
        <f>3303+[1]táj.2!I103</f>
        <v>3303</v>
      </c>
      <c r="J103" s="7">
        <f>0+[1]táj.2!J103</f>
        <v>0</v>
      </c>
      <c r="K103" s="7">
        <f>0+[1]táj.2!K103</f>
        <v>0</v>
      </c>
      <c r="L103" s="7">
        <f>0+[1]táj.2!L103</f>
        <v>0</v>
      </c>
      <c r="M103" s="7">
        <f>0+[1]táj.2!M103</f>
        <v>0</v>
      </c>
      <c r="N103" s="7">
        <f>0+[1]táj.2!N103</f>
        <v>0</v>
      </c>
      <c r="O103" s="7">
        <f>0+[1]táj.2!O103</f>
        <v>0</v>
      </c>
      <c r="P103" s="7">
        <f>0+[1]táj.2!P103</f>
        <v>0</v>
      </c>
      <c r="Q103" s="7">
        <f>SUM(G103:P103)</f>
        <v>3303</v>
      </c>
    </row>
    <row r="104" spans="1:17" ht="27" customHeight="1" x14ac:dyDescent="0.2">
      <c r="A104" s="162"/>
      <c r="B104" s="162"/>
      <c r="C104" s="178"/>
      <c r="D104" s="207" t="s">
        <v>643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6.5" customHeight="1" x14ac:dyDescent="0.2">
      <c r="A105" s="162"/>
      <c r="B105" s="162"/>
      <c r="C105" s="178"/>
      <c r="D105" s="207" t="s">
        <v>644</v>
      </c>
      <c r="E105" s="7">
        <v>2</v>
      </c>
      <c r="F105" s="7">
        <v>131506</v>
      </c>
      <c r="G105" s="7">
        <f>600+[1]táj.2!G105</f>
        <v>600</v>
      </c>
      <c r="H105" s="7">
        <f>285+[1]táj.2!H105</f>
        <v>285</v>
      </c>
      <c r="I105" s="7">
        <f>1365+[1]táj.2!I105</f>
        <v>665</v>
      </c>
      <c r="J105" s="7">
        <f>0+[1]táj.2!J105</f>
        <v>0</v>
      </c>
      <c r="K105" s="7">
        <f>0+[1]táj.2!K105</f>
        <v>0</v>
      </c>
      <c r="L105" s="7">
        <f>0+[1]táj.2!L105</f>
        <v>0</v>
      </c>
      <c r="M105" s="7">
        <f>0+[1]táj.2!M105</f>
        <v>0</v>
      </c>
      <c r="N105" s="7">
        <f>0+[1]táj.2!N105</f>
        <v>0</v>
      </c>
      <c r="O105" s="7">
        <f>0+[1]táj.2!O105</f>
        <v>0</v>
      </c>
      <c r="P105" s="7">
        <f>0+[1]táj.2!P105</f>
        <v>0</v>
      </c>
      <c r="Q105" s="7">
        <f>SUM(G105:P105)</f>
        <v>1550</v>
      </c>
    </row>
    <row r="106" spans="1:17" ht="15" customHeight="1" x14ac:dyDescent="0.2">
      <c r="A106" s="162"/>
      <c r="B106" s="162"/>
      <c r="C106" s="178"/>
      <c r="D106" s="175" t="s">
        <v>645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 x14ac:dyDescent="0.2">
      <c r="A107" s="162"/>
      <c r="B107" s="162"/>
      <c r="C107" s="178"/>
      <c r="D107" s="175" t="s">
        <v>64</v>
      </c>
      <c r="E107" s="7">
        <v>2</v>
      </c>
      <c r="F107" s="7">
        <v>131707</v>
      </c>
      <c r="G107" s="7">
        <f>0+[1]táj.2!G107</f>
        <v>0</v>
      </c>
      <c r="H107" s="7">
        <f>0+[1]táj.2!H107</f>
        <v>0</v>
      </c>
      <c r="I107" s="7">
        <f>0+[1]táj.2!I107</f>
        <v>0</v>
      </c>
      <c r="J107" s="7">
        <f>0+[1]táj.2!J107</f>
        <v>0</v>
      </c>
      <c r="K107" s="7">
        <f>11500+[1]táj.2!K107</f>
        <v>11500</v>
      </c>
      <c r="L107" s="7">
        <f>0+[1]táj.2!L107</f>
        <v>0</v>
      </c>
      <c r="M107" s="7">
        <f>0+[1]táj.2!M107</f>
        <v>0</v>
      </c>
      <c r="N107" s="7">
        <f>0+[1]táj.2!N107</f>
        <v>0</v>
      </c>
      <c r="O107" s="7">
        <f>0+[1]táj.2!O107</f>
        <v>0</v>
      </c>
      <c r="P107" s="7">
        <f>0+[1]táj.2!P107</f>
        <v>0</v>
      </c>
      <c r="Q107" s="7">
        <f>SUM(G107:P107)</f>
        <v>11500</v>
      </c>
    </row>
    <row r="108" spans="1:17" ht="15" customHeight="1" x14ac:dyDescent="0.2">
      <c r="A108" s="162"/>
      <c r="B108" s="162"/>
      <c r="C108" s="178"/>
      <c r="D108" s="175" t="s">
        <v>646</v>
      </c>
      <c r="E108" s="7">
        <v>2</v>
      </c>
      <c r="F108" s="7">
        <v>131713</v>
      </c>
      <c r="G108" s="7">
        <f>0+[1]táj.2!G108</f>
        <v>0</v>
      </c>
      <c r="H108" s="7">
        <f>0+[1]táj.2!H108</f>
        <v>0</v>
      </c>
      <c r="I108" s="7">
        <f>0+[1]táj.2!I108</f>
        <v>0</v>
      </c>
      <c r="J108" s="7">
        <f>0+[1]táj.2!J108</f>
        <v>0</v>
      </c>
      <c r="K108" s="7">
        <f>3000+[1]táj.2!K108</f>
        <v>3000</v>
      </c>
      <c r="L108" s="7">
        <f>0+[1]táj.2!L108</f>
        <v>0</v>
      </c>
      <c r="M108" s="7">
        <f>0+[1]táj.2!M108</f>
        <v>0</v>
      </c>
      <c r="N108" s="7">
        <f>0+[1]táj.2!N108</f>
        <v>0</v>
      </c>
      <c r="O108" s="7">
        <f>0+[1]táj.2!O108</f>
        <v>0</v>
      </c>
      <c r="P108" s="7">
        <f>0+[1]táj.2!P108</f>
        <v>0</v>
      </c>
      <c r="Q108" s="7">
        <f>SUM(G108:P108)</f>
        <v>3000</v>
      </c>
    </row>
    <row r="109" spans="1:17" ht="16.5" customHeight="1" x14ac:dyDescent="0.2">
      <c r="A109" s="162"/>
      <c r="B109" s="162"/>
      <c r="C109" s="178"/>
      <c r="D109" s="136" t="s">
        <v>578</v>
      </c>
      <c r="E109" s="144"/>
      <c r="F109" s="19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 x14ac:dyDescent="0.2">
      <c r="A110" s="162"/>
      <c r="B110" s="162"/>
      <c r="C110" s="178"/>
      <c r="D110" s="175" t="s">
        <v>647</v>
      </c>
      <c r="E110" s="134">
        <v>2</v>
      </c>
      <c r="F110" s="7">
        <v>131706</v>
      </c>
      <c r="G110" s="7">
        <f>450+[1]táj.2!G110</f>
        <v>450</v>
      </c>
      <c r="H110" s="7">
        <f>200+[1]táj.2!H110</f>
        <v>200</v>
      </c>
      <c r="I110" s="7">
        <f>600+[1]táj.2!I110</f>
        <v>600</v>
      </c>
      <c r="J110" s="7">
        <f>0+[1]táj.2!J110</f>
        <v>0</v>
      </c>
      <c r="K110" s="7">
        <f>1350+[1]táj.2!K110</f>
        <v>1350</v>
      </c>
      <c r="L110" s="7">
        <f>0+[1]táj.2!L110</f>
        <v>0</v>
      </c>
      <c r="M110" s="7">
        <f>0+[1]táj.2!M110</f>
        <v>0</v>
      </c>
      <c r="N110" s="7">
        <f>0+[1]táj.2!N110</f>
        <v>0</v>
      </c>
      <c r="O110" s="7">
        <f>0+[1]táj.2!O110</f>
        <v>0</v>
      </c>
      <c r="P110" s="7">
        <f>0+[1]táj.2!P110</f>
        <v>0</v>
      </c>
      <c r="Q110" s="7">
        <f>SUM(G110:P110)</f>
        <v>2600</v>
      </c>
    </row>
    <row r="111" spans="1:17" ht="15" customHeight="1" x14ac:dyDescent="0.2">
      <c r="A111" s="162"/>
      <c r="B111" s="162"/>
      <c r="C111" s="178"/>
      <c r="D111" s="175" t="s">
        <v>648</v>
      </c>
      <c r="E111" s="134">
        <v>2</v>
      </c>
      <c r="F111" s="7">
        <v>131712</v>
      </c>
      <c r="G111" s="7">
        <f>0+[1]táj.2!G111</f>
        <v>0</v>
      </c>
      <c r="H111" s="7">
        <f>0+[1]táj.2!H111</f>
        <v>0</v>
      </c>
      <c r="I111" s="7">
        <f>1900+[1]táj.2!I111</f>
        <v>1900</v>
      </c>
      <c r="J111" s="7">
        <f>0+[1]táj.2!J111</f>
        <v>0</v>
      </c>
      <c r="K111" s="7">
        <f>0+[1]táj.2!K111</f>
        <v>0</v>
      </c>
      <c r="L111" s="7">
        <f>0+[1]táj.2!L111</f>
        <v>0</v>
      </c>
      <c r="M111" s="7">
        <f>0+[1]táj.2!M111</f>
        <v>0</v>
      </c>
      <c r="N111" s="7">
        <f>0+[1]táj.2!N111</f>
        <v>0</v>
      </c>
      <c r="O111" s="7">
        <f>0+[1]táj.2!O111</f>
        <v>0</v>
      </c>
      <c r="P111" s="7">
        <f>0+[1]táj.2!P111</f>
        <v>0</v>
      </c>
      <c r="Q111" s="7">
        <f>SUM(G111:P111)</f>
        <v>1900</v>
      </c>
    </row>
    <row r="112" spans="1:17" ht="15" customHeight="1" x14ac:dyDescent="0.2">
      <c r="A112" s="162"/>
      <c r="B112" s="162"/>
      <c r="C112" s="178"/>
      <c r="D112" s="136" t="s">
        <v>649</v>
      </c>
      <c r="E112" s="134">
        <v>2</v>
      </c>
      <c r="F112" s="7">
        <v>131714</v>
      </c>
      <c r="G112" s="7">
        <f>0+[1]táj.2!G112</f>
        <v>0</v>
      </c>
      <c r="H112" s="7">
        <f>0+[1]táj.2!H112</f>
        <v>0</v>
      </c>
      <c r="I112" s="7">
        <f>0+[1]táj.2!I112</f>
        <v>0</v>
      </c>
      <c r="J112" s="7">
        <f>0+[1]táj.2!J112</f>
        <v>0</v>
      </c>
      <c r="K112" s="7">
        <f>3000+[1]táj.2!K112</f>
        <v>200</v>
      </c>
      <c r="L112" s="7">
        <f>0+[1]táj.2!L112</f>
        <v>0</v>
      </c>
      <c r="M112" s="7">
        <f>0+[1]táj.2!M112</f>
        <v>0</v>
      </c>
      <c r="N112" s="7">
        <f>0+[1]táj.2!N112</f>
        <v>0</v>
      </c>
      <c r="O112" s="7">
        <f>0+[1]táj.2!O112</f>
        <v>0</v>
      </c>
      <c r="P112" s="7">
        <f>0+[1]táj.2!P112</f>
        <v>0</v>
      </c>
      <c r="Q112" s="7">
        <f>SUM(G112:P112)</f>
        <v>200</v>
      </c>
    </row>
    <row r="113" spans="1:17" ht="20.25" customHeight="1" x14ac:dyDescent="0.2">
      <c r="A113" s="162"/>
      <c r="B113" s="162"/>
      <c r="C113" s="178"/>
      <c r="D113" s="136" t="s">
        <v>65</v>
      </c>
      <c r="E113" s="13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 x14ac:dyDescent="0.2">
      <c r="A114" s="162"/>
      <c r="B114" s="162"/>
      <c r="C114" s="178"/>
      <c r="D114" s="136" t="s">
        <v>66</v>
      </c>
      <c r="E114" s="134">
        <v>1</v>
      </c>
      <c r="F114" s="7">
        <v>131716</v>
      </c>
      <c r="G114" s="7">
        <f>0+[1]táj.2!G114</f>
        <v>0</v>
      </c>
      <c r="H114" s="7">
        <f>0+[1]táj.2!H114</f>
        <v>0</v>
      </c>
      <c r="I114" s="7">
        <f>38659+[1]táj.2!I114</f>
        <v>52390</v>
      </c>
      <c r="J114" s="7">
        <f>0+[1]táj.2!J114</f>
        <v>0</v>
      </c>
      <c r="K114" s="7">
        <f>11341+[1]táj.2!K114</f>
        <v>23860</v>
      </c>
      <c r="L114" s="7">
        <f>0+[1]táj.2!L114</f>
        <v>0</v>
      </c>
      <c r="M114" s="7">
        <f>0+[1]táj.2!M114</f>
        <v>0</v>
      </c>
      <c r="N114" s="7">
        <f>0+[1]táj.2!N114</f>
        <v>0</v>
      </c>
      <c r="O114" s="7">
        <f>0+[1]táj.2!O114</f>
        <v>0</v>
      </c>
      <c r="P114" s="7">
        <f>0+[1]táj.2!P114</f>
        <v>0</v>
      </c>
      <c r="Q114" s="7">
        <f>SUM(G114:P114)</f>
        <v>76250</v>
      </c>
    </row>
    <row r="115" spans="1:17" ht="15" customHeight="1" x14ac:dyDescent="0.2">
      <c r="A115" s="162"/>
      <c r="B115" s="162"/>
      <c r="C115" s="178"/>
      <c r="D115" s="7" t="s">
        <v>627</v>
      </c>
      <c r="E115" s="20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5" customHeight="1" x14ac:dyDescent="0.2">
      <c r="A116" s="162"/>
      <c r="B116" s="162"/>
      <c r="C116" s="178"/>
      <c r="D116" s="175" t="s">
        <v>650</v>
      </c>
      <c r="E116" s="134">
        <v>2</v>
      </c>
      <c r="F116" s="7">
        <v>128901</v>
      </c>
      <c r="G116" s="7">
        <f>0+[1]táj.2!G116</f>
        <v>0</v>
      </c>
      <c r="H116" s="7">
        <f>0+[1]táj.2!H116</f>
        <v>0</v>
      </c>
      <c r="I116" s="7">
        <f>0+[1]táj.2!I116</f>
        <v>0</v>
      </c>
      <c r="J116" s="7">
        <f>0+[1]táj.2!J116</f>
        <v>0</v>
      </c>
      <c r="K116" s="7">
        <f>2500+[1]táj.2!K116</f>
        <v>1250</v>
      </c>
      <c r="L116" s="7">
        <f>0+[1]táj.2!L116</f>
        <v>0</v>
      </c>
      <c r="M116" s="7">
        <f>0+[1]táj.2!M116</f>
        <v>0</v>
      </c>
      <c r="N116" s="7">
        <f>0+[1]táj.2!N116</f>
        <v>0</v>
      </c>
      <c r="O116" s="7">
        <f>0+[1]táj.2!O116</f>
        <v>0</v>
      </c>
      <c r="P116" s="7">
        <f>0+[1]táj.2!P116</f>
        <v>0</v>
      </c>
      <c r="Q116" s="7">
        <f>SUM(G116:P116)</f>
        <v>1250</v>
      </c>
    </row>
    <row r="117" spans="1:17" ht="15" customHeight="1" x14ac:dyDescent="0.2">
      <c r="A117" s="162"/>
      <c r="B117" s="162"/>
      <c r="C117" s="178"/>
      <c r="D117" s="209" t="s">
        <v>651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5" customHeight="1" x14ac:dyDescent="0.2">
      <c r="A118" s="162"/>
      <c r="B118" s="162"/>
      <c r="C118" s="178"/>
      <c r="D118" s="174" t="s">
        <v>652</v>
      </c>
      <c r="E118" s="171"/>
      <c r="F118" s="171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5" customHeight="1" x14ac:dyDescent="0.2">
      <c r="A119" s="162"/>
      <c r="B119" s="162"/>
      <c r="C119" s="178"/>
      <c r="D119" s="175" t="s">
        <v>653</v>
      </c>
      <c r="E119" s="7">
        <v>2</v>
      </c>
      <c r="F119" s="7">
        <v>131803</v>
      </c>
      <c r="G119" s="7">
        <f>0+[1]táj.2!G119</f>
        <v>0</v>
      </c>
      <c r="H119" s="7">
        <f>0+[1]táj.2!H119</f>
        <v>0</v>
      </c>
      <c r="I119" s="7">
        <f>0+[1]táj.2!I119</f>
        <v>0</v>
      </c>
      <c r="J119" s="7">
        <f>0+[1]táj.2!J119</f>
        <v>0</v>
      </c>
      <c r="K119" s="7">
        <f>150000+[1]táj.2!K119</f>
        <v>150000</v>
      </c>
      <c r="L119" s="7">
        <f>0+[1]táj.2!L119</f>
        <v>0</v>
      </c>
      <c r="M119" s="7">
        <f>0+[1]táj.2!M119</f>
        <v>0</v>
      </c>
      <c r="N119" s="7">
        <f>0+[1]táj.2!N119</f>
        <v>0</v>
      </c>
      <c r="O119" s="7">
        <f>0+[1]táj.2!O119</f>
        <v>0</v>
      </c>
      <c r="P119" s="7">
        <f>0+[1]táj.2!P119</f>
        <v>0</v>
      </c>
      <c r="Q119" s="7">
        <f>SUM(G119:P119)</f>
        <v>150000</v>
      </c>
    </row>
    <row r="120" spans="1:17" ht="15" customHeight="1" x14ac:dyDescent="0.2">
      <c r="A120" s="162"/>
      <c r="B120" s="162"/>
      <c r="C120" s="178"/>
      <c r="D120" s="175" t="s">
        <v>654</v>
      </c>
      <c r="E120" s="7">
        <v>2</v>
      </c>
      <c r="F120" s="7">
        <v>131804</v>
      </c>
      <c r="G120" s="7">
        <f>0+[1]táj.2!G120</f>
        <v>0</v>
      </c>
      <c r="H120" s="7">
        <f>0+[1]táj.2!H120</f>
        <v>0</v>
      </c>
      <c r="I120" s="7">
        <f>0+[1]táj.2!I120</f>
        <v>0</v>
      </c>
      <c r="J120" s="7">
        <f>0+[1]táj.2!J120</f>
        <v>0</v>
      </c>
      <c r="K120" s="7">
        <f>65000+[1]táj.2!K120</f>
        <v>65000</v>
      </c>
      <c r="L120" s="7">
        <f>0+[1]táj.2!L120</f>
        <v>0</v>
      </c>
      <c r="M120" s="7">
        <f>0+[1]táj.2!M120</f>
        <v>0</v>
      </c>
      <c r="N120" s="7">
        <f>0+[1]táj.2!N120</f>
        <v>0</v>
      </c>
      <c r="O120" s="7">
        <f>0+[1]táj.2!O120</f>
        <v>0</v>
      </c>
      <c r="P120" s="7">
        <f>0+[1]táj.2!P120</f>
        <v>0</v>
      </c>
      <c r="Q120" s="7">
        <f>SUM(G120:P120)</f>
        <v>65000</v>
      </c>
    </row>
    <row r="121" spans="1:17" ht="15" customHeight="1" x14ac:dyDescent="0.2">
      <c r="A121" s="162"/>
      <c r="B121" s="162"/>
      <c r="C121" s="178"/>
      <c r="D121" s="175" t="s">
        <v>655</v>
      </c>
      <c r="E121" s="7">
        <v>2</v>
      </c>
      <c r="F121" s="7">
        <v>131805</v>
      </c>
      <c r="G121" s="7">
        <f>0+[1]táj.2!G121</f>
        <v>0</v>
      </c>
      <c r="H121" s="7">
        <f>0+[1]táj.2!H121</f>
        <v>0</v>
      </c>
      <c r="I121" s="7">
        <f>0+[1]táj.2!I121</f>
        <v>0</v>
      </c>
      <c r="J121" s="7">
        <f>0+[1]táj.2!J121</f>
        <v>0</v>
      </c>
      <c r="K121" s="7">
        <f>10000+[1]táj.2!K121</f>
        <v>5000</v>
      </c>
      <c r="L121" s="7">
        <f>0+[1]táj.2!L121</f>
        <v>0</v>
      </c>
      <c r="M121" s="7">
        <f>0+[1]táj.2!M121</f>
        <v>0</v>
      </c>
      <c r="N121" s="7">
        <f>0+[1]táj.2!N121</f>
        <v>0</v>
      </c>
      <c r="O121" s="7">
        <f>0+[1]táj.2!O121</f>
        <v>0</v>
      </c>
      <c r="P121" s="7">
        <f>0+[1]táj.2!P121</f>
        <v>0</v>
      </c>
      <c r="Q121" s="7">
        <f>SUM(G121:P121)</f>
        <v>5000</v>
      </c>
    </row>
    <row r="122" spans="1:17" ht="15" customHeight="1" x14ac:dyDescent="0.2">
      <c r="A122" s="162"/>
      <c r="B122" s="162"/>
      <c r="C122" s="178"/>
      <c r="D122" s="174" t="s">
        <v>656</v>
      </c>
      <c r="E122" s="171"/>
      <c r="F122" s="171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 x14ac:dyDescent="0.2">
      <c r="A123" s="162"/>
      <c r="B123" s="162"/>
      <c r="C123" s="178"/>
      <c r="D123" s="175" t="s">
        <v>657</v>
      </c>
      <c r="E123" s="171">
        <v>1</v>
      </c>
      <c r="F123" s="7">
        <v>131808</v>
      </c>
      <c r="G123" s="7">
        <f>400+[1]táj.2!G123</f>
        <v>400</v>
      </c>
      <c r="H123" s="7">
        <f>70+[1]táj.2!H123</f>
        <v>70</v>
      </c>
      <c r="I123" s="7">
        <f>1280+[1]táj.2!I123</f>
        <v>1280</v>
      </c>
      <c r="J123" s="7">
        <f>0+[1]táj.2!J123</f>
        <v>0</v>
      </c>
      <c r="K123" s="7">
        <f>0+[1]táj.2!K123</f>
        <v>0</v>
      </c>
      <c r="L123" s="7">
        <f>0+[1]táj.2!L123</f>
        <v>0</v>
      </c>
      <c r="M123" s="7">
        <f>0+[1]táj.2!M123</f>
        <v>0</v>
      </c>
      <c r="N123" s="7">
        <f>0+[1]táj.2!N123</f>
        <v>0</v>
      </c>
      <c r="O123" s="7">
        <f>0+[1]táj.2!O123</f>
        <v>0</v>
      </c>
      <c r="P123" s="7">
        <f>0+[1]táj.2!P123</f>
        <v>0</v>
      </c>
      <c r="Q123" s="7">
        <f>SUM(G123:P123)</f>
        <v>1750</v>
      </c>
    </row>
    <row r="124" spans="1:17" ht="15" customHeight="1" x14ac:dyDescent="0.2">
      <c r="A124" s="162"/>
      <c r="B124" s="162"/>
      <c r="C124" s="178"/>
      <c r="D124" s="175" t="s">
        <v>658</v>
      </c>
      <c r="E124" s="7">
        <v>1</v>
      </c>
      <c r="F124" s="7">
        <v>131807</v>
      </c>
      <c r="G124" s="7">
        <f>150+[1]táj.2!G124</f>
        <v>150</v>
      </c>
      <c r="H124" s="7">
        <f>60+[1]táj.2!H124</f>
        <v>60</v>
      </c>
      <c r="I124" s="7">
        <f>240+[1]táj.2!I124</f>
        <v>240</v>
      </c>
      <c r="J124" s="7">
        <f>0+[1]táj.2!J124</f>
        <v>0</v>
      </c>
      <c r="K124" s="7">
        <f>1000+[1]táj.2!K124</f>
        <v>740</v>
      </c>
      <c r="L124" s="7">
        <f>0+[1]táj.2!L124</f>
        <v>0</v>
      </c>
      <c r="M124" s="7">
        <f>0+[1]táj.2!M124</f>
        <v>0</v>
      </c>
      <c r="N124" s="7">
        <f>0+[1]táj.2!N124</f>
        <v>0</v>
      </c>
      <c r="O124" s="7">
        <f>0+[1]táj.2!O124</f>
        <v>0</v>
      </c>
      <c r="P124" s="7">
        <f>0+[1]táj.2!P124</f>
        <v>0</v>
      </c>
      <c r="Q124" s="7">
        <f>SUM(G124:P124)</f>
        <v>1190</v>
      </c>
    </row>
    <row r="125" spans="1:17" ht="15" customHeight="1" x14ac:dyDescent="0.2">
      <c r="A125" s="162"/>
      <c r="B125" s="162"/>
      <c r="C125" s="178"/>
      <c r="D125" s="175" t="s">
        <v>659</v>
      </c>
      <c r="E125" s="171">
        <v>1</v>
      </c>
      <c r="F125" s="7">
        <v>131809</v>
      </c>
      <c r="G125" s="7">
        <f>0+[1]táj.2!G125</f>
        <v>0</v>
      </c>
      <c r="H125" s="7">
        <f>0+[1]táj.2!H125</f>
        <v>0</v>
      </c>
      <c r="I125" s="7">
        <f>0+[1]táj.2!I125</f>
        <v>0</v>
      </c>
      <c r="J125" s="7">
        <f>0+[1]táj.2!J125</f>
        <v>0</v>
      </c>
      <c r="K125" s="7">
        <f>400+[1]táj.2!K125</f>
        <v>400</v>
      </c>
      <c r="L125" s="7">
        <f>0+[1]táj.2!L125</f>
        <v>0</v>
      </c>
      <c r="M125" s="7">
        <f>0+[1]táj.2!M125</f>
        <v>0</v>
      </c>
      <c r="N125" s="7">
        <f>0+[1]táj.2!N125</f>
        <v>0</v>
      </c>
      <c r="O125" s="7">
        <f>0+[1]táj.2!O125</f>
        <v>0</v>
      </c>
      <c r="P125" s="7">
        <f>0+[1]táj.2!P125</f>
        <v>0</v>
      </c>
      <c r="Q125" s="7">
        <f>SUM(G125:P125)</f>
        <v>400</v>
      </c>
    </row>
    <row r="126" spans="1:17" ht="15" customHeight="1" x14ac:dyDescent="0.2">
      <c r="A126" s="162"/>
      <c r="B126" s="162"/>
      <c r="C126" s="178"/>
      <c r="D126" s="191" t="s">
        <v>660</v>
      </c>
      <c r="E126" s="7">
        <v>2</v>
      </c>
      <c r="F126" s="7">
        <v>131835</v>
      </c>
      <c r="G126" s="7">
        <f>0+[1]táj.2!G126</f>
        <v>0</v>
      </c>
      <c r="H126" s="7">
        <f>0+[1]táj.2!H126</f>
        <v>0</v>
      </c>
      <c r="I126" s="7">
        <f>0+[1]táj.2!I126</f>
        <v>0</v>
      </c>
      <c r="J126" s="7">
        <f>0+[1]táj.2!J126</f>
        <v>0</v>
      </c>
      <c r="K126" s="7">
        <f>6500+[1]táj.2!K126</f>
        <v>6500</v>
      </c>
      <c r="L126" s="7">
        <f>0+[1]táj.2!L126</f>
        <v>0</v>
      </c>
      <c r="M126" s="7">
        <f>0+[1]táj.2!M126</f>
        <v>0</v>
      </c>
      <c r="N126" s="7">
        <f>0+[1]táj.2!N126</f>
        <v>0</v>
      </c>
      <c r="O126" s="7">
        <f>0+[1]táj.2!O126</f>
        <v>0</v>
      </c>
      <c r="P126" s="7">
        <f>0+[1]táj.2!P126</f>
        <v>0</v>
      </c>
      <c r="Q126" s="7">
        <f>SUM(G126:P126)</f>
        <v>6500</v>
      </c>
    </row>
    <row r="127" spans="1:17" ht="15" customHeight="1" x14ac:dyDescent="0.2">
      <c r="A127" s="162"/>
      <c r="B127" s="162"/>
      <c r="C127" s="178"/>
      <c r="D127" s="174" t="s">
        <v>661</v>
      </c>
      <c r="E127" s="171"/>
      <c r="F127" s="17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 x14ac:dyDescent="0.2">
      <c r="A128" s="162"/>
      <c r="B128" s="162"/>
      <c r="C128" s="178"/>
      <c r="D128" s="175" t="s">
        <v>662</v>
      </c>
      <c r="E128" s="7">
        <v>1</v>
      </c>
      <c r="F128" s="7">
        <v>131811</v>
      </c>
      <c r="G128" s="7">
        <f>0+[1]táj.2!G128</f>
        <v>0</v>
      </c>
      <c r="H128" s="7">
        <f>0+[1]táj.2!H128</f>
        <v>0</v>
      </c>
      <c r="I128" s="7">
        <f>0+[1]táj.2!I128</f>
        <v>0</v>
      </c>
      <c r="J128" s="7">
        <f>0+[1]táj.2!J128</f>
        <v>0</v>
      </c>
      <c r="K128" s="7">
        <f>12000+[1]táj.2!K128</f>
        <v>5050</v>
      </c>
      <c r="L128" s="7">
        <f>0+[1]táj.2!L128</f>
        <v>0</v>
      </c>
      <c r="M128" s="7">
        <f>0+[1]táj.2!M128</f>
        <v>0</v>
      </c>
      <c r="N128" s="7">
        <f>0+[1]táj.2!N128</f>
        <v>0</v>
      </c>
      <c r="O128" s="7">
        <f>0+[1]táj.2!O128</f>
        <v>0</v>
      </c>
      <c r="P128" s="7">
        <f>0+[1]táj.2!P128</f>
        <v>0</v>
      </c>
      <c r="Q128" s="7">
        <f t="shared" ref="Q128:Q136" si="7">SUM(G128:P128)</f>
        <v>5050</v>
      </c>
    </row>
    <row r="129" spans="1:17" ht="15" customHeight="1" x14ac:dyDescent="0.2">
      <c r="A129" s="162"/>
      <c r="B129" s="162"/>
      <c r="C129" s="178"/>
      <c r="D129" s="175" t="s">
        <v>663</v>
      </c>
      <c r="E129" s="7">
        <v>1</v>
      </c>
      <c r="F129" s="7">
        <v>131812</v>
      </c>
      <c r="G129" s="7">
        <f>0+[1]táj.2!G129</f>
        <v>0</v>
      </c>
      <c r="H129" s="7">
        <f>0+[1]táj.2!H129</f>
        <v>0</v>
      </c>
      <c r="I129" s="7">
        <f>0+[1]táj.2!I129</f>
        <v>0</v>
      </c>
      <c r="J129" s="7">
        <f>0+[1]táj.2!J129</f>
        <v>0</v>
      </c>
      <c r="K129" s="7">
        <f>7000+[1]táj.2!K129</f>
        <v>3500</v>
      </c>
      <c r="L129" s="7">
        <f>0+[1]táj.2!L129</f>
        <v>0</v>
      </c>
      <c r="M129" s="7">
        <f>0+[1]táj.2!M129</f>
        <v>0</v>
      </c>
      <c r="N129" s="7">
        <f>0+[1]táj.2!N129</f>
        <v>0</v>
      </c>
      <c r="O129" s="7">
        <f>0+[1]táj.2!O129</f>
        <v>0</v>
      </c>
      <c r="P129" s="7">
        <f>0+[1]táj.2!P129</f>
        <v>0</v>
      </c>
      <c r="Q129" s="7">
        <f t="shared" si="7"/>
        <v>3500</v>
      </c>
    </row>
    <row r="130" spans="1:17" ht="15" customHeight="1" x14ac:dyDescent="0.2">
      <c r="A130" s="162"/>
      <c r="B130" s="162"/>
      <c r="C130" s="178"/>
      <c r="D130" s="175" t="s">
        <v>664</v>
      </c>
      <c r="E130" s="7">
        <v>1</v>
      </c>
      <c r="F130" s="7">
        <v>131813</v>
      </c>
      <c r="G130" s="7">
        <f>0+[1]táj.2!G130</f>
        <v>0</v>
      </c>
      <c r="H130" s="7">
        <f>0+[1]táj.2!H130</f>
        <v>0</v>
      </c>
      <c r="I130" s="7">
        <f>0+[1]táj.2!I130</f>
        <v>0</v>
      </c>
      <c r="J130" s="7">
        <f>0+[1]táj.2!J130</f>
        <v>0</v>
      </c>
      <c r="K130" s="7">
        <f>1800+[1]táj.2!K130</f>
        <v>900</v>
      </c>
      <c r="L130" s="7">
        <f>0+[1]táj.2!L130</f>
        <v>0</v>
      </c>
      <c r="M130" s="7">
        <f>0+[1]táj.2!M130</f>
        <v>0</v>
      </c>
      <c r="N130" s="7">
        <f>0+[1]táj.2!N130</f>
        <v>0</v>
      </c>
      <c r="O130" s="7">
        <f>0+[1]táj.2!O130</f>
        <v>0</v>
      </c>
      <c r="P130" s="7">
        <f>0+[1]táj.2!P130</f>
        <v>0</v>
      </c>
      <c r="Q130" s="7">
        <f t="shared" si="7"/>
        <v>900</v>
      </c>
    </row>
    <row r="131" spans="1:17" ht="15" customHeight="1" x14ac:dyDescent="0.2">
      <c r="A131" s="162"/>
      <c r="B131" s="162"/>
      <c r="C131" s="178"/>
      <c r="D131" s="175" t="s">
        <v>665</v>
      </c>
      <c r="E131" s="7">
        <v>1</v>
      </c>
      <c r="F131" s="7">
        <v>131816</v>
      </c>
      <c r="G131" s="7">
        <f>0+[1]táj.2!G131</f>
        <v>0</v>
      </c>
      <c r="H131" s="7">
        <f>0+[1]táj.2!H131</f>
        <v>0</v>
      </c>
      <c r="I131" s="7">
        <f>0+[1]táj.2!I131</f>
        <v>0</v>
      </c>
      <c r="J131" s="7">
        <f>0+[1]táj.2!J131</f>
        <v>0</v>
      </c>
      <c r="K131" s="7">
        <f>1400+[1]táj.2!K131</f>
        <v>700</v>
      </c>
      <c r="L131" s="7">
        <f>0+[1]táj.2!L131</f>
        <v>0</v>
      </c>
      <c r="M131" s="7">
        <f>0+[1]táj.2!M131</f>
        <v>0</v>
      </c>
      <c r="N131" s="7">
        <f>0+[1]táj.2!N131</f>
        <v>0</v>
      </c>
      <c r="O131" s="7">
        <f>0+[1]táj.2!O131</f>
        <v>0</v>
      </c>
      <c r="P131" s="7">
        <f>0+[1]táj.2!P131</f>
        <v>0</v>
      </c>
      <c r="Q131" s="7">
        <f t="shared" si="7"/>
        <v>700</v>
      </c>
    </row>
    <row r="132" spans="1:17" ht="15" customHeight="1" x14ac:dyDescent="0.2">
      <c r="A132" s="162"/>
      <c r="B132" s="162"/>
      <c r="C132" s="178"/>
      <c r="D132" s="175" t="s">
        <v>666</v>
      </c>
      <c r="E132" s="7">
        <v>1</v>
      </c>
      <c r="F132" s="7">
        <v>131817</v>
      </c>
      <c r="G132" s="7">
        <f>0+[1]táj.2!G132</f>
        <v>0</v>
      </c>
      <c r="H132" s="7">
        <f>0+[1]táj.2!H132</f>
        <v>0</v>
      </c>
      <c r="I132" s="7">
        <f>0+[1]táj.2!I132</f>
        <v>0</v>
      </c>
      <c r="J132" s="7">
        <f>0+[1]táj.2!J132</f>
        <v>0</v>
      </c>
      <c r="K132" s="7">
        <f>990+[1]táj.2!K132</f>
        <v>495</v>
      </c>
      <c r="L132" s="7">
        <f>0+[1]táj.2!L132</f>
        <v>0</v>
      </c>
      <c r="M132" s="7">
        <f>0+[1]táj.2!M132</f>
        <v>0</v>
      </c>
      <c r="N132" s="7">
        <f>0+[1]táj.2!N132</f>
        <v>0</v>
      </c>
      <c r="O132" s="7">
        <f>0+[1]táj.2!O132</f>
        <v>0</v>
      </c>
      <c r="P132" s="7">
        <f>0+[1]táj.2!P132</f>
        <v>0</v>
      </c>
      <c r="Q132" s="7">
        <f t="shared" si="7"/>
        <v>495</v>
      </c>
    </row>
    <row r="133" spans="1:17" ht="15" customHeight="1" x14ac:dyDescent="0.2">
      <c r="A133" s="162"/>
      <c r="B133" s="162"/>
      <c r="C133" s="178"/>
      <c r="D133" s="175" t="s">
        <v>667</v>
      </c>
      <c r="E133" s="7">
        <v>1</v>
      </c>
      <c r="F133" s="7">
        <v>131818</v>
      </c>
      <c r="G133" s="7">
        <f>0+[1]táj.2!G133</f>
        <v>0</v>
      </c>
      <c r="H133" s="7">
        <f>0+[1]táj.2!H133</f>
        <v>0</v>
      </c>
      <c r="I133" s="7">
        <f>0+[1]táj.2!I133</f>
        <v>0</v>
      </c>
      <c r="J133" s="7">
        <f>0+[1]táj.2!J133</f>
        <v>0</v>
      </c>
      <c r="K133" s="7">
        <f>400+[1]táj.2!K133</f>
        <v>200</v>
      </c>
      <c r="L133" s="7">
        <f>0+[1]táj.2!L133</f>
        <v>0</v>
      </c>
      <c r="M133" s="7">
        <f>0+[1]táj.2!M133</f>
        <v>0</v>
      </c>
      <c r="N133" s="7">
        <f>0+[1]táj.2!N133</f>
        <v>0</v>
      </c>
      <c r="O133" s="7">
        <f>0+[1]táj.2!O133</f>
        <v>0</v>
      </c>
      <c r="P133" s="7">
        <f>0+[1]táj.2!P133</f>
        <v>0</v>
      </c>
      <c r="Q133" s="7">
        <f t="shared" si="7"/>
        <v>200</v>
      </c>
    </row>
    <row r="134" spans="1:17" ht="15" customHeight="1" x14ac:dyDescent="0.2">
      <c r="A134" s="162"/>
      <c r="B134" s="162"/>
      <c r="C134" s="178"/>
      <c r="D134" s="175" t="s">
        <v>668</v>
      </c>
      <c r="E134" s="7">
        <v>1</v>
      </c>
      <c r="F134" s="7">
        <v>131819</v>
      </c>
      <c r="G134" s="7">
        <f>0+[1]táj.2!G134</f>
        <v>0</v>
      </c>
      <c r="H134" s="7">
        <f>0+[1]táj.2!H134</f>
        <v>0</v>
      </c>
      <c r="I134" s="7">
        <f>0+[1]táj.2!I134</f>
        <v>0</v>
      </c>
      <c r="J134" s="7">
        <f>0+[1]táj.2!J134</f>
        <v>0</v>
      </c>
      <c r="K134" s="7">
        <f>400+[1]táj.2!K134</f>
        <v>200</v>
      </c>
      <c r="L134" s="7">
        <f>0+[1]táj.2!L134</f>
        <v>0</v>
      </c>
      <c r="M134" s="7">
        <f>0+[1]táj.2!M134</f>
        <v>0</v>
      </c>
      <c r="N134" s="7">
        <f>0+[1]táj.2!N134</f>
        <v>0</v>
      </c>
      <c r="O134" s="7">
        <f>0+[1]táj.2!O134</f>
        <v>0</v>
      </c>
      <c r="P134" s="7">
        <f>0+[1]táj.2!P134</f>
        <v>0</v>
      </c>
      <c r="Q134" s="7">
        <f t="shared" si="7"/>
        <v>200</v>
      </c>
    </row>
    <row r="135" spans="1:17" ht="15" customHeight="1" x14ac:dyDescent="0.2">
      <c r="A135" s="162"/>
      <c r="B135" s="162"/>
      <c r="C135" s="178"/>
      <c r="D135" s="175" t="s">
        <v>669</v>
      </c>
      <c r="E135" s="7">
        <v>1</v>
      </c>
      <c r="F135" s="7">
        <v>131832</v>
      </c>
      <c r="G135" s="7">
        <f>0+[1]táj.2!G135</f>
        <v>0</v>
      </c>
      <c r="H135" s="7">
        <f>0+[1]táj.2!H135</f>
        <v>0</v>
      </c>
      <c r="I135" s="7">
        <f>0+[1]táj.2!I135</f>
        <v>0</v>
      </c>
      <c r="J135" s="7">
        <f>0+[1]táj.2!J135</f>
        <v>0</v>
      </c>
      <c r="K135" s="7">
        <f>225+[1]táj.2!K135</f>
        <v>113</v>
      </c>
      <c r="L135" s="7">
        <f>0+[1]táj.2!L135</f>
        <v>0</v>
      </c>
      <c r="M135" s="7">
        <f>0+[1]táj.2!M135</f>
        <v>0</v>
      </c>
      <c r="N135" s="7">
        <f>0+[1]táj.2!N135</f>
        <v>0</v>
      </c>
      <c r="O135" s="7">
        <f>0+[1]táj.2!O135</f>
        <v>0</v>
      </c>
      <c r="P135" s="7">
        <f>0+[1]táj.2!P135</f>
        <v>0</v>
      </c>
      <c r="Q135" s="7">
        <f t="shared" si="7"/>
        <v>113</v>
      </c>
    </row>
    <row r="136" spans="1:17" ht="15" customHeight="1" x14ac:dyDescent="0.2">
      <c r="A136" s="162"/>
      <c r="B136" s="162"/>
      <c r="C136" s="178"/>
      <c r="D136" s="175" t="s">
        <v>670</v>
      </c>
      <c r="E136" s="7">
        <v>1</v>
      </c>
      <c r="F136" s="7">
        <v>131820</v>
      </c>
      <c r="G136" s="7">
        <f>100+[1]táj.2!G136</f>
        <v>83</v>
      </c>
      <c r="H136" s="7">
        <f>40+[1]táj.2!H136</f>
        <v>57</v>
      </c>
      <c r="I136" s="7">
        <f>300+[1]táj.2!I136</f>
        <v>300</v>
      </c>
      <c r="J136" s="7">
        <f>0+[1]táj.2!J136</f>
        <v>0</v>
      </c>
      <c r="K136" s="7">
        <f>1560+[1]táj.2!K136</f>
        <v>1560</v>
      </c>
      <c r="L136" s="7">
        <f>0+[1]táj.2!L136</f>
        <v>0</v>
      </c>
      <c r="M136" s="7">
        <f>0+[1]táj.2!M136</f>
        <v>0</v>
      </c>
      <c r="N136" s="7">
        <f>500+[1]táj.2!N136</f>
        <v>500</v>
      </c>
      <c r="O136" s="7">
        <f>0+[1]táj.2!O136</f>
        <v>0</v>
      </c>
      <c r="P136" s="7">
        <f>0+[1]táj.2!P136</f>
        <v>0</v>
      </c>
      <c r="Q136" s="7">
        <f t="shared" si="7"/>
        <v>2500</v>
      </c>
    </row>
    <row r="137" spans="1:17" ht="15" customHeight="1" x14ac:dyDescent="0.2">
      <c r="A137" s="162"/>
      <c r="B137" s="162"/>
      <c r="C137" s="178"/>
      <c r="D137" s="175" t="s">
        <v>671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5" customHeight="1" x14ac:dyDescent="0.2">
      <c r="A138" s="162"/>
      <c r="B138" s="162"/>
      <c r="C138" s="178"/>
      <c r="D138" s="175" t="s">
        <v>672</v>
      </c>
      <c r="E138" s="171">
        <v>2</v>
      </c>
      <c r="F138" s="7">
        <v>131821</v>
      </c>
      <c r="G138" s="7">
        <f>0+[1]táj.2!G138</f>
        <v>0</v>
      </c>
      <c r="H138" s="7">
        <f>0+[1]táj.2!H138</f>
        <v>0</v>
      </c>
      <c r="I138" s="7">
        <f>0+[1]táj.2!I138</f>
        <v>0</v>
      </c>
      <c r="J138" s="7">
        <f>0+[1]táj.2!J138</f>
        <v>0</v>
      </c>
      <c r="K138" s="7">
        <f>7000+[1]táj.2!K138</f>
        <v>3500</v>
      </c>
      <c r="L138" s="7">
        <f>0+[1]táj.2!L138</f>
        <v>0</v>
      </c>
      <c r="M138" s="7">
        <f>0+[1]táj.2!M138</f>
        <v>0</v>
      </c>
      <c r="N138" s="7">
        <f>0+[1]táj.2!N138</f>
        <v>0</v>
      </c>
      <c r="O138" s="7">
        <f>0+[1]táj.2!O138</f>
        <v>0</v>
      </c>
      <c r="P138" s="7">
        <f>0+[1]táj.2!P138</f>
        <v>0</v>
      </c>
      <c r="Q138" s="7">
        <f t="shared" ref="Q138:Q166" si="8">SUM(G138:P138)</f>
        <v>3500</v>
      </c>
    </row>
    <row r="139" spans="1:17" ht="15" customHeight="1" x14ac:dyDescent="0.2">
      <c r="A139" s="162"/>
      <c r="B139" s="162"/>
      <c r="C139" s="178"/>
      <c r="D139" s="175" t="s">
        <v>673</v>
      </c>
      <c r="E139" s="171">
        <v>2</v>
      </c>
      <c r="F139" s="7">
        <v>131822</v>
      </c>
      <c r="G139" s="7">
        <f>0+[1]táj.2!G139</f>
        <v>0</v>
      </c>
      <c r="H139" s="7">
        <f>0+[1]táj.2!H139</f>
        <v>0</v>
      </c>
      <c r="I139" s="7">
        <f>0+[1]táj.2!I139</f>
        <v>0</v>
      </c>
      <c r="J139" s="7">
        <f>0+[1]táj.2!J139</f>
        <v>0</v>
      </c>
      <c r="K139" s="7">
        <f>450+[1]táj.2!K139</f>
        <v>225</v>
      </c>
      <c r="L139" s="7">
        <f>0+[1]táj.2!L139</f>
        <v>0</v>
      </c>
      <c r="M139" s="7">
        <f>0+[1]táj.2!M139</f>
        <v>0</v>
      </c>
      <c r="N139" s="7">
        <f>0+[1]táj.2!N139</f>
        <v>0</v>
      </c>
      <c r="O139" s="7">
        <f>0+[1]táj.2!O139</f>
        <v>0</v>
      </c>
      <c r="P139" s="7">
        <f>0+[1]táj.2!P139</f>
        <v>0</v>
      </c>
      <c r="Q139" s="7">
        <f t="shared" si="8"/>
        <v>225</v>
      </c>
    </row>
    <row r="140" spans="1:17" ht="15" customHeight="1" x14ac:dyDescent="0.2">
      <c r="A140" s="162"/>
      <c r="B140" s="162"/>
      <c r="C140" s="178"/>
      <c r="D140" s="210" t="s">
        <v>674</v>
      </c>
      <c r="E140" s="211">
        <v>2</v>
      </c>
      <c r="F140" s="7">
        <v>131823</v>
      </c>
      <c r="G140" s="7">
        <f>0+[1]táj.2!G140</f>
        <v>0</v>
      </c>
      <c r="H140" s="7">
        <f>0+[1]táj.2!H140</f>
        <v>0</v>
      </c>
      <c r="I140" s="7">
        <f>0+[1]táj.2!I140</f>
        <v>0</v>
      </c>
      <c r="J140" s="7">
        <f>0+[1]táj.2!J140</f>
        <v>0</v>
      </c>
      <c r="K140" s="7">
        <f>18000+[1]táj.2!K140</f>
        <v>15000</v>
      </c>
      <c r="L140" s="7">
        <f>0+[1]táj.2!L140</f>
        <v>0</v>
      </c>
      <c r="M140" s="7">
        <f>0+[1]táj.2!M140</f>
        <v>0</v>
      </c>
      <c r="N140" s="7">
        <f>0+[1]táj.2!N140</f>
        <v>0</v>
      </c>
      <c r="O140" s="7">
        <f>0+[1]táj.2!O140</f>
        <v>0</v>
      </c>
      <c r="P140" s="7">
        <f>0+[1]táj.2!P140</f>
        <v>0</v>
      </c>
      <c r="Q140" s="7">
        <f t="shared" si="8"/>
        <v>15000</v>
      </c>
    </row>
    <row r="141" spans="1:17" ht="15" customHeight="1" x14ac:dyDescent="0.2">
      <c r="A141" s="162"/>
      <c r="B141" s="162"/>
      <c r="C141" s="178"/>
      <c r="D141" s="210" t="s">
        <v>675</v>
      </c>
      <c r="E141" s="211">
        <v>2</v>
      </c>
      <c r="F141" s="7">
        <v>131846</v>
      </c>
      <c r="G141" s="7">
        <f>0+[1]táj.2!G141</f>
        <v>0</v>
      </c>
      <c r="H141" s="7">
        <f>0+[1]táj.2!H141</f>
        <v>0</v>
      </c>
      <c r="I141" s="7">
        <f>0+[1]táj.2!I141</f>
        <v>0</v>
      </c>
      <c r="J141" s="7">
        <f>0+[1]táj.2!J141</f>
        <v>0</v>
      </c>
      <c r="K141" s="7">
        <f>12000+[1]táj.2!K141</f>
        <v>0</v>
      </c>
      <c r="L141" s="7">
        <f>0+[1]táj.2!L141</f>
        <v>0</v>
      </c>
      <c r="M141" s="7">
        <f>0+[1]táj.2!M141</f>
        <v>0</v>
      </c>
      <c r="N141" s="7">
        <f>0+[1]táj.2!N141</f>
        <v>0</v>
      </c>
      <c r="O141" s="7">
        <f>0+[1]táj.2!O141</f>
        <v>0</v>
      </c>
      <c r="P141" s="7">
        <f>0+[1]táj.2!P141</f>
        <v>0</v>
      </c>
      <c r="Q141" s="7">
        <f t="shared" si="8"/>
        <v>0</v>
      </c>
    </row>
    <row r="142" spans="1:17" ht="15" customHeight="1" x14ac:dyDescent="0.2">
      <c r="A142" s="162"/>
      <c r="B142" s="162"/>
      <c r="C142" s="178"/>
      <c r="D142" s="210" t="s">
        <v>676</v>
      </c>
      <c r="E142" s="212">
        <v>2</v>
      </c>
      <c r="F142" s="7">
        <v>131824</v>
      </c>
      <c r="G142" s="7">
        <f>0+[1]táj.2!G142</f>
        <v>0</v>
      </c>
      <c r="H142" s="7">
        <f>0+[1]táj.2!H142</f>
        <v>0</v>
      </c>
      <c r="I142" s="7">
        <f>0+[1]táj.2!I142</f>
        <v>0</v>
      </c>
      <c r="J142" s="7">
        <f>0+[1]táj.2!J142</f>
        <v>0</v>
      </c>
      <c r="K142" s="7">
        <f>2250+[1]táj.2!K142</f>
        <v>1125</v>
      </c>
      <c r="L142" s="7">
        <f>0+[1]táj.2!L142</f>
        <v>0</v>
      </c>
      <c r="M142" s="7">
        <f>0+[1]táj.2!M142</f>
        <v>0</v>
      </c>
      <c r="N142" s="7">
        <f>0+[1]táj.2!N142</f>
        <v>0</v>
      </c>
      <c r="O142" s="7">
        <f>0+[1]táj.2!O142</f>
        <v>0</v>
      </c>
      <c r="P142" s="7">
        <f>0+[1]táj.2!P142</f>
        <v>0</v>
      </c>
      <c r="Q142" s="7">
        <f t="shared" si="8"/>
        <v>1125</v>
      </c>
    </row>
    <row r="143" spans="1:17" ht="15" customHeight="1" x14ac:dyDescent="0.2">
      <c r="A143" s="162"/>
      <c r="B143" s="162"/>
      <c r="C143" s="178"/>
      <c r="D143" s="210" t="s">
        <v>677</v>
      </c>
      <c r="E143" s="212">
        <v>2</v>
      </c>
      <c r="F143" s="213">
        <v>131833</v>
      </c>
      <c r="G143" s="7">
        <f>0+[1]táj.2!G143</f>
        <v>0</v>
      </c>
      <c r="H143" s="7">
        <f>0+[1]táj.2!H143</f>
        <v>0</v>
      </c>
      <c r="I143" s="7">
        <f>0+[1]táj.2!I143</f>
        <v>0</v>
      </c>
      <c r="J143" s="7">
        <f>0+[1]táj.2!J143</f>
        <v>0</v>
      </c>
      <c r="K143" s="7">
        <f>2700+[1]táj.2!K143</f>
        <v>1350</v>
      </c>
      <c r="L143" s="7">
        <f>0+[1]táj.2!L143</f>
        <v>0</v>
      </c>
      <c r="M143" s="7">
        <f>0+[1]táj.2!M143</f>
        <v>0</v>
      </c>
      <c r="N143" s="7">
        <f>0+[1]táj.2!N143</f>
        <v>0</v>
      </c>
      <c r="O143" s="7">
        <f>0+[1]táj.2!O143</f>
        <v>0</v>
      </c>
      <c r="P143" s="7">
        <f>0+[1]táj.2!P143</f>
        <v>0</v>
      </c>
      <c r="Q143" s="7">
        <f t="shared" si="8"/>
        <v>1350</v>
      </c>
    </row>
    <row r="144" spans="1:17" ht="15" customHeight="1" x14ac:dyDescent="0.2">
      <c r="A144" s="162"/>
      <c r="B144" s="162"/>
      <c r="C144" s="178"/>
      <c r="D144" s="210" t="s">
        <v>678</v>
      </c>
      <c r="E144" s="212">
        <v>2</v>
      </c>
      <c r="F144" s="213">
        <v>131834</v>
      </c>
      <c r="G144" s="7">
        <f>0+[1]táj.2!G144</f>
        <v>0</v>
      </c>
      <c r="H144" s="7">
        <f>0+[1]táj.2!H144</f>
        <v>0</v>
      </c>
      <c r="I144" s="7">
        <f>0+[1]táj.2!I144</f>
        <v>0</v>
      </c>
      <c r="J144" s="7">
        <f>0+[1]táj.2!J144</f>
        <v>0</v>
      </c>
      <c r="K144" s="7">
        <f>3600+[1]táj.2!K144</f>
        <v>1800</v>
      </c>
      <c r="L144" s="7">
        <f>0+[1]táj.2!L144</f>
        <v>0</v>
      </c>
      <c r="M144" s="7">
        <f>0+[1]táj.2!M144</f>
        <v>0</v>
      </c>
      <c r="N144" s="7">
        <f>0+[1]táj.2!N144</f>
        <v>0</v>
      </c>
      <c r="O144" s="7">
        <f>0+[1]táj.2!O144</f>
        <v>0</v>
      </c>
      <c r="P144" s="7">
        <f>0+[1]táj.2!P144</f>
        <v>0</v>
      </c>
      <c r="Q144" s="7">
        <f t="shared" si="8"/>
        <v>1800</v>
      </c>
    </row>
    <row r="145" spans="1:17" ht="15" customHeight="1" x14ac:dyDescent="0.2">
      <c r="A145" s="162"/>
      <c r="B145" s="162"/>
      <c r="C145" s="178"/>
      <c r="D145" s="210" t="s">
        <v>679</v>
      </c>
      <c r="E145" s="212">
        <v>2</v>
      </c>
      <c r="F145" s="213">
        <v>131836</v>
      </c>
      <c r="G145" s="7">
        <f>0+[1]táj.2!G145</f>
        <v>0</v>
      </c>
      <c r="H145" s="7">
        <f>0+[1]táj.2!H145</f>
        <v>0</v>
      </c>
      <c r="I145" s="7">
        <f>0+[1]táj.2!I145</f>
        <v>0</v>
      </c>
      <c r="J145" s="7">
        <f>0+[1]táj.2!J145</f>
        <v>0</v>
      </c>
      <c r="K145" s="7">
        <f>9000+[1]táj.2!K145</f>
        <v>4500</v>
      </c>
      <c r="L145" s="7">
        <f>0+[1]táj.2!L145</f>
        <v>0</v>
      </c>
      <c r="M145" s="7">
        <f>0+[1]táj.2!M145</f>
        <v>0</v>
      </c>
      <c r="N145" s="7">
        <f>0+[1]táj.2!N145</f>
        <v>0</v>
      </c>
      <c r="O145" s="7">
        <f>0+[1]táj.2!O145</f>
        <v>0</v>
      </c>
      <c r="P145" s="7">
        <f>0+[1]táj.2!P145</f>
        <v>0</v>
      </c>
      <c r="Q145" s="7">
        <f t="shared" si="8"/>
        <v>4500</v>
      </c>
    </row>
    <row r="146" spans="1:17" ht="15" customHeight="1" x14ac:dyDescent="0.2">
      <c r="A146" s="162"/>
      <c r="B146" s="162"/>
      <c r="C146" s="178"/>
      <c r="D146" s="210" t="s">
        <v>680</v>
      </c>
      <c r="E146" s="212">
        <v>2</v>
      </c>
      <c r="F146" s="213">
        <v>131837</v>
      </c>
      <c r="G146" s="7">
        <f>0+[1]táj.2!G146</f>
        <v>0</v>
      </c>
      <c r="H146" s="7">
        <f>0+[1]táj.2!H146</f>
        <v>0</v>
      </c>
      <c r="I146" s="7">
        <f>0+[1]táj.2!I146</f>
        <v>0</v>
      </c>
      <c r="J146" s="7">
        <f>0+[1]táj.2!J146</f>
        <v>0</v>
      </c>
      <c r="K146" s="7">
        <f>8000+[1]táj.2!K146</f>
        <v>4000</v>
      </c>
      <c r="L146" s="7">
        <f>0+[1]táj.2!L146</f>
        <v>0</v>
      </c>
      <c r="M146" s="7">
        <f>0+[1]táj.2!M146</f>
        <v>0</v>
      </c>
      <c r="N146" s="7">
        <f>0+[1]táj.2!N146</f>
        <v>0</v>
      </c>
      <c r="O146" s="7">
        <f>0+[1]táj.2!O146</f>
        <v>0</v>
      </c>
      <c r="P146" s="7">
        <f>0+[1]táj.2!P146</f>
        <v>0</v>
      </c>
      <c r="Q146" s="7">
        <f t="shared" si="8"/>
        <v>4000</v>
      </c>
    </row>
    <row r="147" spans="1:17" ht="15" customHeight="1" x14ac:dyDescent="0.2">
      <c r="A147" s="162"/>
      <c r="B147" s="162"/>
      <c r="C147" s="178"/>
      <c r="D147" s="210" t="s">
        <v>681</v>
      </c>
      <c r="E147" s="212">
        <v>2</v>
      </c>
      <c r="F147" s="213">
        <v>131838</v>
      </c>
      <c r="G147" s="7">
        <f>0+[1]táj.2!G147</f>
        <v>0</v>
      </c>
      <c r="H147" s="7">
        <f>0+[1]táj.2!H147</f>
        <v>0</v>
      </c>
      <c r="I147" s="7">
        <f>0+[1]táj.2!I147</f>
        <v>0</v>
      </c>
      <c r="J147" s="7">
        <f>0+[1]táj.2!J147</f>
        <v>0</v>
      </c>
      <c r="K147" s="7">
        <f>19700+[1]táj.2!K147</f>
        <v>19700</v>
      </c>
      <c r="L147" s="7">
        <f>0+[1]táj.2!L147</f>
        <v>0</v>
      </c>
      <c r="M147" s="7">
        <f>0+[1]táj.2!M147</f>
        <v>0</v>
      </c>
      <c r="N147" s="7">
        <f>0+[1]táj.2!N147</f>
        <v>0</v>
      </c>
      <c r="O147" s="7">
        <f>0+[1]táj.2!O147</f>
        <v>0</v>
      </c>
      <c r="P147" s="7">
        <f>0+[1]táj.2!P147</f>
        <v>0</v>
      </c>
      <c r="Q147" s="7">
        <f t="shared" si="8"/>
        <v>19700</v>
      </c>
    </row>
    <row r="148" spans="1:17" ht="15" customHeight="1" x14ac:dyDescent="0.2">
      <c r="A148" s="162"/>
      <c r="B148" s="162"/>
      <c r="C148" s="178"/>
      <c r="D148" s="210" t="s">
        <v>682</v>
      </c>
      <c r="E148" s="212">
        <v>2</v>
      </c>
      <c r="F148" s="213">
        <v>131840</v>
      </c>
      <c r="G148" s="7">
        <f>0+[1]táj.2!G148</f>
        <v>0</v>
      </c>
      <c r="H148" s="7">
        <f>0+[1]táj.2!H148</f>
        <v>0</v>
      </c>
      <c r="I148" s="7">
        <f>0+[1]táj.2!I148</f>
        <v>0</v>
      </c>
      <c r="J148" s="7">
        <f>0+[1]táj.2!J148</f>
        <v>0</v>
      </c>
      <c r="K148" s="7">
        <f>1350+[1]táj.2!K148</f>
        <v>675</v>
      </c>
      <c r="L148" s="7">
        <f>0+[1]táj.2!L148</f>
        <v>0</v>
      </c>
      <c r="M148" s="7">
        <f>0+[1]táj.2!M148</f>
        <v>0</v>
      </c>
      <c r="N148" s="7">
        <f>0+[1]táj.2!N148</f>
        <v>0</v>
      </c>
      <c r="O148" s="7">
        <f>0+[1]táj.2!O148</f>
        <v>0</v>
      </c>
      <c r="P148" s="7">
        <f>0+[1]táj.2!P148</f>
        <v>0</v>
      </c>
      <c r="Q148" s="7">
        <f t="shared" si="8"/>
        <v>675</v>
      </c>
    </row>
    <row r="149" spans="1:17" ht="15" customHeight="1" x14ac:dyDescent="0.2">
      <c r="A149" s="162"/>
      <c r="B149" s="162"/>
      <c r="C149" s="178"/>
      <c r="D149" s="210" t="s">
        <v>683</v>
      </c>
      <c r="E149" s="212">
        <v>2</v>
      </c>
      <c r="F149" s="213">
        <v>131841</v>
      </c>
      <c r="G149" s="7">
        <f>0+[1]táj.2!G149</f>
        <v>0</v>
      </c>
      <c r="H149" s="7">
        <f>0+[1]táj.2!H149</f>
        <v>0</v>
      </c>
      <c r="I149" s="7">
        <f>0+[1]táj.2!I149</f>
        <v>0</v>
      </c>
      <c r="J149" s="7">
        <f>0+[1]táj.2!J149</f>
        <v>0</v>
      </c>
      <c r="K149" s="7">
        <f>450+[1]táj.2!K149</f>
        <v>225</v>
      </c>
      <c r="L149" s="7">
        <f>0+[1]táj.2!L149</f>
        <v>0</v>
      </c>
      <c r="M149" s="7">
        <f>0+[1]táj.2!M149</f>
        <v>0</v>
      </c>
      <c r="N149" s="7">
        <f>0+[1]táj.2!N149</f>
        <v>0</v>
      </c>
      <c r="O149" s="7">
        <f>0+[1]táj.2!O149</f>
        <v>0</v>
      </c>
      <c r="P149" s="7">
        <f>0+[1]táj.2!P149</f>
        <v>0</v>
      </c>
      <c r="Q149" s="7">
        <f t="shared" si="8"/>
        <v>225</v>
      </c>
    </row>
    <row r="150" spans="1:17" ht="15" customHeight="1" x14ac:dyDescent="0.2">
      <c r="A150" s="162"/>
      <c r="B150" s="162"/>
      <c r="C150" s="178"/>
      <c r="D150" s="210" t="s">
        <v>684</v>
      </c>
      <c r="E150" s="212">
        <v>2</v>
      </c>
      <c r="F150" s="213">
        <v>131842</v>
      </c>
      <c r="G150" s="7">
        <f>0+[1]táj.2!G150</f>
        <v>0</v>
      </c>
      <c r="H150" s="7">
        <f>0+[1]táj.2!H150</f>
        <v>0</v>
      </c>
      <c r="I150" s="7">
        <f>0+[1]táj.2!I150</f>
        <v>0</v>
      </c>
      <c r="J150" s="7">
        <f>0+[1]táj.2!J150</f>
        <v>0</v>
      </c>
      <c r="K150" s="7">
        <f>1000+[1]táj.2!K150</f>
        <v>500</v>
      </c>
      <c r="L150" s="7">
        <f>0+[1]táj.2!L150</f>
        <v>0</v>
      </c>
      <c r="M150" s="7">
        <f>0+[1]táj.2!M150</f>
        <v>0</v>
      </c>
      <c r="N150" s="7">
        <f>0+[1]táj.2!N150</f>
        <v>0</v>
      </c>
      <c r="O150" s="7">
        <f>0+[1]táj.2!O150</f>
        <v>0</v>
      </c>
      <c r="P150" s="7">
        <f>0+[1]táj.2!P150</f>
        <v>0</v>
      </c>
      <c r="Q150" s="7">
        <f t="shared" si="8"/>
        <v>500</v>
      </c>
    </row>
    <row r="151" spans="1:17" ht="15" customHeight="1" x14ac:dyDescent="0.2">
      <c r="A151" s="162"/>
      <c r="B151" s="162"/>
      <c r="C151" s="178"/>
      <c r="D151" s="210" t="s">
        <v>685</v>
      </c>
      <c r="E151" s="212">
        <v>2</v>
      </c>
      <c r="F151" s="213">
        <v>131843</v>
      </c>
      <c r="G151" s="7">
        <f>0+[1]táj.2!G151</f>
        <v>0</v>
      </c>
      <c r="H151" s="7">
        <f>0+[1]táj.2!H151</f>
        <v>0</v>
      </c>
      <c r="I151" s="7">
        <f>0+[1]táj.2!I151</f>
        <v>0</v>
      </c>
      <c r="J151" s="7">
        <f>0+[1]táj.2!J151</f>
        <v>0</v>
      </c>
      <c r="K151" s="7">
        <f>2250+[1]táj.2!K151</f>
        <v>1125</v>
      </c>
      <c r="L151" s="7">
        <f>0+[1]táj.2!L151</f>
        <v>0</v>
      </c>
      <c r="M151" s="7">
        <f>0+[1]táj.2!M151</f>
        <v>0</v>
      </c>
      <c r="N151" s="7">
        <f>0+[1]táj.2!N151</f>
        <v>0</v>
      </c>
      <c r="O151" s="7">
        <f>0+[1]táj.2!O151</f>
        <v>0</v>
      </c>
      <c r="P151" s="7">
        <f>0+[1]táj.2!P151</f>
        <v>0</v>
      </c>
      <c r="Q151" s="7">
        <f t="shared" si="8"/>
        <v>1125</v>
      </c>
    </row>
    <row r="152" spans="1:17" ht="15" customHeight="1" x14ac:dyDescent="0.2">
      <c r="A152" s="162"/>
      <c r="B152" s="162"/>
      <c r="C152" s="162"/>
      <c r="D152" s="7" t="s">
        <v>686</v>
      </c>
      <c r="E152" s="212">
        <v>2</v>
      </c>
      <c r="F152" s="213">
        <v>131847</v>
      </c>
      <c r="G152" s="7">
        <f>0+[1]táj.2!G152</f>
        <v>0</v>
      </c>
      <c r="H152" s="7">
        <f>0+[1]táj.2!H152</f>
        <v>0</v>
      </c>
      <c r="I152" s="7">
        <f>0+[1]táj.2!I152</f>
        <v>0</v>
      </c>
      <c r="J152" s="7">
        <f>0+[1]táj.2!J152</f>
        <v>0</v>
      </c>
      <c r="K152" s="7">
        <f>2750+[1]táj.2!K152</f>
        <v>1375</v>
      </c>
      <c r="L152" s="7">
        <f>0+[1]táj.2!L152</f>
        <v>0</v>
      </c>
      <c r="M152" s="7">
        <f>0+[1]táj.2!M152</f>
        <v>0</v>
      </c>
      <c r="N152" s="7">
        <f>0+[1]táj.2!N152</f>
        <v>0</v>
      </c>
      <c r="O152" s="7">
        <f>0+[1]táj.2!O152</f>
        <v>0</v>
      </c>
      <c r="P152" s="7">
        <f>0+[1]táj.2!P152</f>
        <v>0</v>
      </c>
      <c r="Q152" s="7">
        <f t="shared" si="8"/>
        <v>1375</v>
      </c>
    </row>
    <row r="153" spans="1:17" ht="15" customHeight="1" x14ac:dyDescent="0.2">
      <c r="A153" s="162"/>
      <c r="B153" s="162"/>
      <c r="C153" s="162"/>
      <c r="D153" s="214" t="s">
        <v>687</v>
      </c>
      <c r="E153" s="212">
        <v>2</v>
      </c>
      <c r="F153" s="213">
        <v>131848</v>
      </c>
      <c r="G153" s="7">
        <f>0+[1]táj.2!G153</f>
        <v>0</v>
      </c>
      <c r="H153" s="7">
        <f>0+[1]táj.2!H153</f>
        <v>0</v>
      </c>
      <c r="I153" s="7">
        <f>0+[1]táj.2!I153</f>
        <v>0</v>
      </c>
      <c r="J153" s="7">
        <f>0+[1]táj.2!J153</f>
        <v>0</v>
      </c>
      <c r="K153" s="7">
        <f>450+[1]táj.2!K153</f>
        <v>450</v>
      </c>
      <c r="L153" s="7">
        <f>0+[1]táj.2!L153</f>
        <v>0</v>
      </c>
      <c r="M153" s="7">
        <f>0+[1]táj.2!M153</f>
        <v>0</v>
      </c>
      <c r="N153" s="7">
        <f>0+[1]táj.2!N153</f>
        <v>0</v>
      </c>
      <c r="O153" s="7">
        <f>0+[1]táj.2!O153</f>
        <v>0</v>
      </c>
      <c r="P153" s="7">
        <f>0+[1]táj.2!P153</f>
        <v>0</v>
      </c>
      <c r="Q153" s="7">
        <f t="shared" si="8"/>
        <v>450</v>
      </c>
    </row>
    <row r="154" spans="1:17" ht="15" customHeight="1" x14ac:dyDescent="0.2">
      <c r="A154" s="162"/>
      <c r="B154" s="162"/>
      <c r="C154" s="162"/>
      <c r="D154" s="214" t="s">
        <v>688</v>
      </c>
      <c r="E154" s="212">
        <v>2</v>
      </c>
      <c r="F154" s="213">
        <v>131850</v>
      </c>
      <c r="G154" s="7">
        <f>0+[1]táj.2!G154</f>
        <v>0</v>
      </c>
      <c r="H154" s="7">
        <f>0+[1]táj.2!H154</f>
        <v>0</v>
      </c>
      <c r="I154" s="7">
        <f>0+[1]táj.2!I154</f>
        <v>0</v>
      </c>
      <c r="J154" s="7">
        <f>0+[1]táj.2!J154</f>
        <v>0</v>
      </c>
      <c r="K154" s="7">
        <f>900+[1]táj.2!K154</f>
        <v>450</v>
      </c>
      <c r="L154" s="7">
        <f>0+[1]táj.2!L154</f>
        <v>0</v>
      </c>
      <c r="M154" s="7">
        <f>0+[1]táj.2!M154</f>
        <v>0</v>
      </c>
      <c r="N154" s="7">
        <f>0+[1]táj.2!N154</f>
        <v>0</v>
      </c>
      <c r="O154" s="7">
        <f>0+[1]táj.2!O154</f>
        <v>0</v>
      </c>
      <c r="P154" s="7">
        <f>0+[1]táj.2!P154</f>
        <v>0</v>
      </c>
      <c r="Q154" s="7">
        <f t="shared" si="8"/>
        <v>450</v>
      </c>
    </row>
    <row r="155" spans="1:17" ht="15" customHeight="1" x14ac:dyDescent="0.2">
      <c r="A155" s="162"/>
      <c r="B155" s="162"/>
      <c r="C155" s="162"/>
      <c r="D155" s="214" t="s">
        <v>689</v>
      </c>
      <c r="E155" s="212">
        <v>2</v>
      </c>
      <c r="F155" s="213">
        <v>131851</v>
      </c>
      <c r="G155" s="7">
        <f>0+[1]táj.2!G155</f>
        <v>0</v>
      </c>
      <c r="H155" s="7">
        <f>0+[1]táj.2!H155</f>
        <v>0</v>
      </c>
      <c r="I155" s="7">
        <f>0+[1]táj.2!I155</f>
        <v>0</v>
      </c>
      <c r="J155" s="7">
        <f>0+[1]táj.2!J155</f>
        <v>0</v>
      </c>
      <c r="K155" s="7">
        <f>720+[1]táj.2!K155</f>
        <v>720</v>
      </c>
      <c r="L155" s="7">
        <f>0+[1]táj.2!L155</f>
        <v>0</v>
      </c>
      <c r="M155" s="7">
        <f>0+[1]táj.2!M155</f>
        <v>0</v>
      </c>
      <c r="N155" s="7">
        <f>0+[1]táj.2!N155</f>
        <v>0</v>
      </c>
      <c r="O155" s="7">
        <f>0+[1]táj.2!O155</f>
        <v>0</v>
      </c>
      <c r="P155" s="7">
        <f>0+[1]táj.2!P155</f>
        <v>0</v>
      </c>
      <c r="Q155" s="7">
        <f t="shared" si="8"/>
        <v>720</v>
      </c>
    </row>
    <row r="156" spans="1:17" ht="15" customHeight="1" x14ac:dyDescent="0.2">
      <c r="A156" s="162"/>
      <c r="B156" s="162"/>
      <c r="C156" s="162"/>
      <c r="D156" s="203" t="s">
        <v>690</v>
      </c>
      <c r="E156" s="212">
        <v>2</v>
      </c>
      <c r="F156" s="213">
        <v>131852</v>
      </c>
      <c r="G156" s="7">
        <f>0+[1]táj.2!G156</f>
        <v>0</v>
      </c>
      <c r="H156" s="7">
        <f>0+[1]táj.2!H156</f>
        <v>0</v>
      </c>
      <c r="I156" s="7">
        <f>0+[1]táj.2!I156</f>
        <v>0</v>
      </c>
      <c r="J156" s="7">
        <f>0+[1]táj.2!J156</f>
        <v>0</v>
      </c>
      <c r="K156" s="7">
        <f>4000+[1]táj.2!K156</f>
        <v>2000</v>
      </c>
      <c r="L156" s="7">
        <f>0+[1]táj.2!L156</f>
        <v>0</v>
      </c>
      <c r="M156" s="7">
        <f>0+[1]táj.2!M156</f>
        <v>0</v>
      </c>
      <c r="N156" s="7">
        <f>0+[1]táj.2!N156</f>
        <v>0</v>
      </c>
      <c r="O156" s="7">
        <f>0+[1]táj.2!O156</f>
        <v>0</v>
      </c>
      <c r="P156" s="7">
        <f>0+[1]táj.2!P156</f>
        <v>0</v>
      </c>
      <c r="Q156" s="7">
        <f t="shared" si="8"/>
        <v>2000</v>
      </c>
    </row>
    <row r="157" spans="1:17" ht="40.5" customHeight="1" x14ac:dyDescent="0.2">
      <c r="A157" s="162"/>
      <c r="B157" s="162"/>
      <c r="C157" s="162"/>
      <c r="D157" s="215" t="s">
        <v>691</v>
      </c>
      <c r="E157" s="216">
        <v>2</v>
      </c>
      <c r="F157" s="25">
        <v>131853</v>
      </c>
      <c r="G157" s="7">
        <f>0+[1]táj.2!G157</f>
        <v>0</v>
      </c>
      <c r="H157" s="7">
        <f>0+[1]táj.2!H157</f>
        <v>0</v>
      </c>
      <c r="I157" s="7">
        <f>0+[1]táj.2!I157</f>
        <v>0</v>
      </c>
      <c r="J157" s="7">
        <f>0+[1]táj.2!J157</f>
        <v>0</v>
      </c>
      <c r="K157" s="7">
        <f>3000+[1]táj.2!K157</f>
        <v>1500</v>
      </c>
      <c r="L157" s="7">
        <f>0+[1]táj.2!L157</f>
        <v>0</v>
      </c>
      <c r="M157" s="7">
        <f>0+[1]táj.2!M157</f>
        <v>0</v>
      </c>
      <c r="N157" s="7">
        <f>0+[1]táj.2!N157</f>
        <v>0</v>
      </c>
      <c r="O157" s="7">
        <f>0+[1]táj.2!O157</f>
        <v>0</v>
      </c>
      <c r="P157" s="7">
        <f>0+[1]táj.2!P157</f>
        <v>0</v>
      </c>
      <c r="Q157" s="7">
        <f t="shared" si="8"/>
        <v>1500</v>
      </c>
    </row>
    <row r="158" spans="1:17" ht="26.25" customHeight="1" x14ac:dyDescent="0.2">
      <c r="A158" s="162"/>
      <c r="B158" s="162"/>
      <c r="C158" s="162"/>
      <c r="D158" s="215" t="s">
        <v>692</v>
      </c>
      <c r="E158" s="216">
        <v>2</v>
      </c>
      <c r="F158" s="25">
        <v>131862</v>
      </c>
      <c r="G158" s="7">
        <f>0+[1]táj.2!G158</f>
        <v>0</v>
      </c>
      <c r="H158" s="7">
        <f>0+[1]táj.2!H158</f>
        <v>0</v>
      </c>
      <c r="I158" s="7">
        <f>0+[1]táj.2!I158</f>
        <v>0</v>
      </c>
      <c r="J158" s="7">
        <f>0+[1]táj.2!J158</f>
        <v>0</v>
      </c>
      <c r="K158" s="7">
        <f>2000+[1]táj.2!K158</f>
        <v>1000</v>
      </c>
      <c r="L158" s="7">
        <f>0+[1]táj.2!L158</f>
        <v>0</v>
      </c>
      <c r="M158" s="7">
        <f>0+[1]táj.2!M158</f>
        <v>0</v>
      </c>
      <c r="N158" s="7">
        <f>0+[1]táj.2!N158</f>
        <v>0</v>
      </c>
      <c r="O158" s="7">
        <f>0+[1]táj.2!O158</f>
        <v>0</v>
      </c>
      <c r="P158" s="7">
        <f>0+[1]táj.2!P158</f>
        <v>0</v>
      </c>
      <c r="Q158" s="7">
        <f t="shared" si="8"/>
        <v>1000</v>
      </c>
    </row>
    <row r="159" spans="1:17" ht="24.75" customHeight="1" x14ac:dyDescent="0.2">
      <c r="A159" s="162"/>
      <c r="B159" s="162"/>
      <c r="C159" s="162"/>
      <c r="D159" s="215" t="s">
        <v>693</v>
      </c>
      <c r="E159" s="216">
        <v>2</v>
      </c>
      <c r="F159" s="25">
        <v>131863</v>
      </c>
      <c r="G159" s="7">
        <f>0+[1]táj.2!G159</f>
        <v>0</v>
      </c>
      <c r="H159" s="7">
        <f>0+[1]táj.2!H159</f>
        <v>0</v>
      </c>
      <c r="I159" s="7">
        <f>2500+[1]táj.2!I159</f>
        <v>2030</v>
      </c>
      <c r="J159" s="7">
        <f>0+[1]táj.2!J159</f>
        <v>0</v>
      </c>
      <c r="K159" s="7">
        <f>0+[1]táj.2!K159</f>
        <v>0</v>
      </c>
      <c r="L159" s="7">
        <f>0+[1]táj.2!L159</f>
        <v>470</v>
      </c>
      <c r="M159" s="7">
        <f>0+[1]táj.2!M159</f>
        <v>0</v>
      </c>
      <c r="N159" s="7">
        <f>0+[1]táj.2!N159</f>
        <v>0</v>
      </c>
      <c r="O159" s="7">
        <f>0+[1]táj.2!O159</f>
        <v>0</v>
      </c>
      <c r="P159" s="7">
        <f>0+[1]táj.2!P159</f>
        <v>0</v>
      </c>
      <c r="Q159" s="7">
        <f t="shared" si="8"/>
        <v>2500</v>
      </c>
    </row>
    <row r="160" spans="1:17" ht="15" customHeight="1" x14ac:dyDescent="0.2">
      <c r="A160" s="162"/>
      <c r="B160" s="162"/>
      <c r="C160" s="162"/>
      <c r="D160" s="7" t="s">
        <v>694</v>
      </c>
      <c r="E160" s="212">
        <v>2</v>
      </c>
      <c r="F160" s="213">
        <v>131854</v>
      </c>
      <c r="G160" s="7">
        <f>0+[1]táj.2!G160</f>
        <v>0</v>
      </c>
      <c r="H160" s="7">
        <f>0+[1]táj.2!H160</f>
        <v>0</v>
      </c>
      <c r="I160" s="7">
        <f>0+[1]táj.2!I160</f>
        <v>0</v>
      </c>
      <c r="J160" s="7">
        <f>0+[1]táj.2!J160</f>
        <v>0</v>
      </c>
      <c r="K160" s="7">
        <f>0+[1]táj.2!K160</f>
        <v>0</v>
      </c>
      <c r="L160" s="7">
        <f>0+[1]táj.2!L160</f>
        <v>0</v>
      </c>
      <c r="M160" s="7">
        <f>0+[1]táj.2!M160</f>
        <v>0</v>
      </c>
      <c r="N160" s="7">
        <f>0+[1]táj.2!N160</f>
        <v>0</v>
      </c>
      <c r="O160" s="7">
        <f>0+[1]táj.2!O160</f>
        <v>0</v>
      </c>
      <c r="P160" s="7">
        <f>0+[1]táj.2!P160</f>
        <v>0</v>
      </c>
      <c r="Q160" s="7">
        <f t="shared" si="8"/>
        <v>0</v>
      </c>
    </row>
    <row r="161" spans="1:17" ht="15" customHeight="1" x14ac:dyDescent="0.2">
      <c r="A161" s="162"/>
      <c r="B161" s="162"/>
      <c r="C161" s="162"/>
      <c r="D161" s="7" t="s">
        <v>695</v>
      </c>
      <c r="E161" s="212">
        <v>2</v>
      </c>
      <c r="F161" s="213">
        <v>131856</v>
      </c>
      <c r="G161" s="7">
        <f>0+[1]táj.2!G161</f>
        <v>0</v>
      </c>
      <c r="H161" s="7">
        <f>0+[1]táj.2!H161</f>
        <v>0</v>
      </c>
      <c r="I161" s="7">
        <f>0+[1]táj.2!I161</f>
        <v>0</v>
      </c>
      <c r="J161" s="7">
        <f>0+[1]táj.2!J161</f>
        <v>0</v>
      </c>
      <c r="K161" s="7">
        <f>100+[1]táj.2!K161</f>
        <v>50</v>
      </c>
      <c r="L161" s="7">
        <f>0+[1]táj.2!L161</f>
        <v>0</v>
      </c>
      <c r="M161" s="7">
        <f>0+[1]táj.2!M161</f>
        <v>0</v>
      </c>
      <c r="N161" s="7">
        <f>0+[1]táj.2!N161</f>
        <v>0</v>
      </c>
      <c r="O161" s="7">
        <f>0+[1]táj.2!O161</f>
        <v>0</v>
      </c>
      <c r="P161" s="7">
        <f>0+[1]táj.2!P161</f>
        <v>0</v>
      </c>
      <c r="Q161" s="7">
        <f t="shared" si="8"/>
        <v>50</v>
      </c>
    </row>
    <row r="162" spans="1:17" ht="15" customHeight="1" x14ac:dyDescent="0.2">
      <c r="A162" s="162"/>
      <c r="B162" s="162"/>
      <c r="C162" s="162"/>
      <c r="D162" s="217" t="s">
        <v>696</v>
      </c>
      <c r="E162" s="212">
        <v>2</v>
      </c>
      <c r="F162" s="213">
        <v>131859</v>
      </c>
      <c r="G162" s="7">
        <f>0+[1]táj.2!G162</f>
        <v>0</v>
      </c>
      <c r="H162" s="7">
        <f>0+[1]táj.2!H162</f>
        <v>0</v>
      </c>
      <c r="I162" s="7">
        <f>0+[1]táj.2!I162</f>
        <v>0</v>
      </c>
      <c r="J162" s="7">
        <f>0+[1]táj.2!J162</f>
        <v>0</v>
      </c>
      <c r="K162" s="7">
        <f>100+[1]táj.2!K162</f>
        <v>50</v>
      </c>
      <c r="L162" s="7">
        <f>0+[1]táj.2!L162</f>
        <v>0</v>
      </c>
      <c r="M162" s="7">
        <f>0+[1]táj.2!M162</f>
        <v>0</v>
      </c>
      <c r="N162" s="7">
        <f>0+[1]táj.2!N162</f>
        <v>0</v>
      </c>
      <c r="O162" s="7">
        <f>0+[1]táj.2!O162</f>
        <v>0</v>
      </c>
      <c r="P162" s="7">
        <f>0+[1]táj.2!P162</f>
        <v>0</v>
      </c>
      <c r="Q162" s="7">
        <f t="shared" si="8"/>
        <v>50</v>
      </c>
    </row>
    <row r="163" spans="1:17" ht="15" customHeight="1" x14ac:dyDescent="0.2">
      <c r="A163" s="162"/>
      <c r="B163" s="162"/>
      <c r="C163" s="162"/>
      <c r="D163" s="217" t="s">
        <v>697</v>
      </c>
      <c r="E163" s="212">
        <v>2</v>
      </c>
      <c r="F163" s="213">
        <v>131860</v>
      </c>
      <c r="G163" s="7">
        <f>0+[1]táj.2!G163</f>
        <v>0</v>
      </c>
      <c r="H163" s="7">
        <f>0+[1]táj.2!H163</f>
        <v>0</v>
      </c>
      <c r="I163" s="7">
        <f>0+[1]táj.2!I163</f>
        <v>0</v>
      </c>
      <c r="J163" s="7">
        <f>0+[1]táj.2!J163</f>
        <v>0</v>
      </c>
      <c r="K163" s="7">
        <f>100+[1]táj.2!K163</f>
        <v>50</v>
      </c>
      <c r="L163" s="7">
        <f>0+[1]táj.2!L163</f>
        <v>0</v>
      </c>
      <c r="M163" s="7">
        <f>0+[1]táj.2!M163</f>
        <v>0</v>
      </c>
      <c r="N163" s="7">
        <f>0+[1]táj.2!N163</f>
        <v>0</v>
      </c>
      <c r="O163" s="7">
        <f>0+[1]táj.2!O163</f>
        <v>0</v>
      </c>
      <c r="P163" s="7">
        <f>0+[1]táj.2!P163</f>
        <v>0</v>
      </c>
      <c r="Q163" s="7">
        <f t="shared" si="8"/>
        <v>50</v>
      </c>
    </row>
    <row r="164" spans="1:17" ht="15" customHeight="1" x14ac:dyDescent="0.2">
      <c r="A164" s="162"/>
      <c r="B164" s="162"/>
      <c r="C164" s="162"/>
      <c r="D164" s="217" t="s">
        <v>698</v>
      </c>
      <c r="E164" s="212">
        <v>2</v>
      </c>
      <c r="F164" s="213">
        <v>131861</v>
      </c>
      <c r="G164" s="7">
        <f>0+[1]táj.2!G164</f>
        <v>0</v>
      </c>
      <c r="H164" s="7">
        <f>0+[1]táj.2!H164</f>
        <v>0</v>
      </c>
      <c r="I164" s="7">
        <f>0+[1]táj.2!I164</f>
        <v>0</v>
      </c>
      <c r="J164" s="7">
        <f>0+[1]táj.2!J164</f>
        <v>0</v>
      </c>
      <c r="K164" s="7">
        <f>100+[1]táj.2!K164</f>
        <v>50</v>
      </c>
      <c r="L164" s="7">
        <f>0+[1]táj.2!L164</f>
        <v>0</v>
      </c>
      <c r="M164" s="7">
        <f>0+[1]táj.2!M164</f>
        <v>0</v>
      </c>
      <c r="N164" s="7">
        <f>0+[1]táj.2!N164</f>
        <v>0</v>
      </c>
      <c r="O164" s="7">
        <f>0+[1]táj.2!O164</f>
        <v>0</v>
      </c>
      <c r="P164" s="7">
        <f>0+[1]táj.2!P164</f>
        <v>0</v>
      </c>
      <c r="Q164" s="7">
        <f t="shared" si="8"/>
        <v>50</v>
      </c>
    </row>
    <row r="165" spans="1:17" ht="15" customHeight="1" x14ac:dyDescent="0.2">
      <c r="A165" s="162"/>
      <c r="B165" s="162"/>
      <c r="C165" s="162"/>
      <c r="D165" s="174" t="s">
        <v>699</v>
      </c>
      <c r="E165" s="171">
        <v>2</v>
      </c>
      <c r="F165" s="7">
        <v>131829</v>
      </c>
      <c r="G165" s="7">
        <f>400+[1]táj.2!G165</f>
        <v>400</v>
      </c>
      <c r="H165" s="7">
        <f>250+[1]táj.2!H165</f>
        <v>250</v>
      </c>
      <c r="I165" s="7">
        <f>1543+[1]táj.2!I165</f>
        <v>1543</v>
      </c>
      <c r="J165" s="7">
        <f>0+[1]táj.2!J165</f>
        <v>0</v>
      </c>
      <c r="K165" s="7">
        <f>1600+[1]táj.2!K165</f>
        <v>1700</v>
      </c>
      <c r="L165" s="7">
        <f>0+[1]táj.2!L165</f>
        <v>0</v>
      </c>
      <c r="M165" s="7">
        <f>0+[1]táj.2!M165</f>
        <v>0</v>
      </c>
      <c r="N165" s="7">
        <f>0+[1]táj.2!N165</f>
        <v>0</v>
      </c>
      <c r="O165" s="7">
        <f>0+[1]táj.2!O165</f>
        <v>0</v>
      </c>
      <c r="P165" s="7">
        <f>0+[1]táj.2!P165</f>
        <v>0</v>
      </c>
      <c r="Q165" s="7">
        <f t="shared" si="8"/>
        <v>3893</v>
      </c>
    </row>
    <row r="166" spans="1:17" ht="15" customHeight="1" x14ac:dyDescent="0.2">
      <c r="A166" s="162"/>
      <c r="B166" s="162"/>
      <c r="C166" s="162"/>
      <c r="D166" s="174" t="s">
        <v>1422</v>
      </c>
      <c r="E166" s="171">
        <v>2</v>
      </c>
      <c r="F166" s="7">
        <v>131864</v>
      </c>
      <c r="G166" s="7">
        <f>0+[1]táj.2!G166</f>
        <v>0</v>
      </c>
      <c r="H166" s="7">
        <f>0+[1]táj.2!H166</f>
        <v>0</v>
      </c>
      <c r="I166" s="7">
        <f>0+[1]táj.2!I166</f>
        <v>0</v>
      </c>
      <c r="J166" s="7">
        <f>0+[1]táj.2!J166</f>
        <v>0</v>
      </c>
      <c r="K166" s="7">
        <f>4000+[1]táj.2!K166</f>
        <v>0</v>
      </c>
      <c r="L166" s="7">
        <f>0+[1]táj.2!L166</f>
        <v>0</v>
      </c>
      <c r="M166" s="7">
        <f>0+[1]táj.2!M166</f>
        <v>0</v>
      </c>
      <c r="N166" s="7">
        <f>0+[1]táj.2!N166</f>
        <v>0</v>
      </c>
      <c r="O166" s="7">
        <f>0+[1]táj.2!O166</f>
        <v>0</v>
      </c>
      <c r="P166" s="7">
        <f>0+[1]táj.2!P166</f>
        <v>0</v>
      </c>
      <c r="Q166" s="7">
        <f t="shared" si="8"/>
        <v>0</v>
      </c>
    </row>
    <row r="167" spans="1:17" ht="15" customHeight="1" x14ac:dyDescent="0.2">
      <c r="A167" s="162"/>
      <c r="B167" s="162"/>
      <c r="C167" s="162"/>
      <c r="D167" s="7" t="s">
        <v>700</v>
      </c>
      <c r="E167" s="171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ht="15" customHeight="1" x14ac:dyDescent="0.2">
      <c r="A168" s="162"/>
      <c r="B168" s="162"/>
      <c r="C168" s="178"/>
      <c r="D168" s="175" t="s">
        <v>701</v>
      </c>
      <c r="E168" s="171">
        <v>1</v>
      </c>
      <c r="F168" s="7">
        <v>131827</v>
      </c>
      <c r="G168" s="7">
        <f>0+[1]táj.2!G168</f>
        <v>0</v>
      </c>
      <c r="H168" s="7">
        <f>0+[1]táj.2!H168</f>
        <v>0</v>
      </c>
      <c r="I168" s="7">
        <f>13043+[1]táj.2!I168</f>
        <v>13043</v>
      </c>
      <c r="J168" s="7">
        <f>0+[1]táj.2!J168</f>
        <v>0</v>
      </c>
      <c r="K168" s="7">
        <f>23000+[1]táj.2!K168</f>
        <v>23000</v>
      </c>
      <c r="L168" s="7">
        <f>0+[1]táj.2!L168</f>
        <v>0</v>
      </c>
      <c r="M168" s="7">
        <f>0+[1]táj.2!M168</f>
        <v>0</v>
      </c>
      <c r="N168" s="7">
        <f>0+[1]táj.2!N168</f>
        <v>0</v>
      </c>
      <c r="O168" s="7">
        <f>0+[1]táj.2!O168</f>
        <v>0</v>
      </c>
      <c r="P168" s="7">
        <f>0+[1]táj.2!P168</f>
        <v>0</v>
      </c>
      <c r="Q168" s="7">
        <f>SUM(G168:P168)</f>
        <v>36043</v>
      </c>
    </row>
    <row r="169" spans="1:17" ht="15" customHeight="1" x14ac:dyDescent="0.2">
      <c r="A169" s="162"/>
      <c r="B169" s="162"/>
      <c r="C169" s="178"/>
      <c r="D169" s="175" t="s">
        <v>702</v>
      </c>
      <c r="E169" s="7">
        <v>2</v>
      </c>
      <c r="F169" s="7">
        <v>131857</v>
      </c>
      <c r="G169" s="7">
        <f>0+[1]táj.2!G169</f>
        <v>0</v>
      </c>
      <c r="H169" s="7">
        <f>0+[1]táj.2!H169</f>
        <v>0</v>
      </c>
      <c r="I169" s="7">
        <f>0+[1]táj.2!I169</f>
        <v>0</v>
      </c>
      <c r="J169" s="7">
        <f>0+[1]táj.2!J169</f>
        <v>0</v>
      </c>
      <c r="K169" s="7">
        <f>13000+[1]táj.2!K169</f>
        <v>13000</v>
      </c>
      <c r="L169" s="7">
        <f>0+[1]táj.2!L169</f>
        <v>0</v>
      </c>
      <c r="M169" s="7">
        <f>0+[1]táj.2!M169</f>
        <v>0</v>
      </c>
      <c r="N169" s="7">
        <f>0+[1]táj.2!N169</f>
        <v>0</v>
      </c>
      <c r="O169" s="7">
        <f>0+[1]táj.2!O169</f>
        <v>0</v>
      </c>
      <c r="P169" s="7">
        <f>0+[1]táj.2!P169</f>
        <v>0</v>
      </c>
      <c r="Q169" s="7">
        <f>SUM(G169:P169)</f>
        <v>13000</v>
      </c>
    </row>
    <row r="170" spans="1:17" ht="15" customHeight="1" x14ac:dyDescent="0.2">
      <c r="A170" s="162"/>
      <c r="B170" s="162"/>
      <c r="C170" s="178"/>
      <c r="D170" s="218" t="s">
        <v>703</v>
      </c>
      <c r="E170" s="7">
        <v>2</v>
      </c>
      <c r="F170" s="7">
        <v>131844</v>
      </c>
      <c r="G170" s="7">
        <f>0+[1]táj.2!G170</f>
        <v>0</v>
      </c>
      <c r="H170" s="7">
        <f>0+[1]táj.2!H170</f>
        <v>0</v>
      </c>
      <c r="I170" s="7">
        <f>0+[1]táj.2!I170</f>
        <v>0</v>
      </c>
      <c r="J170" s="7">
        <f>0+[1]táj.2!J170</f>
        <v>0</v>
      </c>
      <c r="K170" s="7">
        <f>24842+[1]táj.2!K170</f>
        <v>24842</v>
      </c>
      <c r="L170" s="7">
        <f>0+[1]táj.2!L170</f>
        <v>0</v>
      </c>
      <c r="M170" s="7">
        <f>0+[1]táj.2!M170</f>
        <v>0</v>
      </c>
      <c r="N170" s="7">
        <f>0+[1]táj.2!N170</f>
        <v>0</v>
      </c>
      <c r="O170" s="7">
        <f>0+[1]táj.2!O170</f>
        <v>0</v>
      </c>
      <c r="P170" s="7">
        <f>0+[1]táj.2!P170</f>
        <v>0</v>
      </c>
      <c r="Q170" s="7">
        <f>SUM(G170:P170)</f>
        <v>24842</v>
      </c>
    </row>
    <row r="171" spans="1:17" ht="12" customHeight="1" x14ac:dyDescent="0.2">
      <c r="A171" s="182"/>
      <c r="B171" s="182"/>
      <c r="C171" s="183"/>
      <c r="D171" s="184" t="s">
        <v>704</v>
      </c>
      <c r="E171" s="185"/>
      <c r="F171" s="52"/>
      <c r="G171" s="219">
        <f>SUM(G49:G170)</f>
        <v>3891</v>
      </c>
      <c r="H171" s="219">
        <f t="shared" ref="H171:Q171" si="9">SUM(H49:H170)</f>
        <v>1415</v>
      </c>
      <c r="I171" s="219">
        <f t="shared" si="9"/>
        <v>93815</v>
      </c>
      <c r="J171" s="219">
        <f t="shared" si="9"/>
        <v>5100</v>
      </c>
      <c r="K171" s="219">
        <f t="shared" si="9"/>
        <v>930103</v>
      </c>
      <c r="L171" s="219">
        <f t="shared" si="9"/>
        <v>470</v>
      </c>
      <c r="M171" s="219">
        <f t="shared" si="9"/>
        <v>0</v>
      </c>
      <c r="N171" s="219">
        <f t="shared" si="9"/>
        <v>500</v>
      </c>
      <c r="O171" s="219">
        <f t="shared" si="9"/>
        <v>0</v>
      </c>
      <c r="P171" s="219">
        <f t="shared" si="9"/>
        <v>0</v>
      </c>
      <c r="Q171" s="219">
        <f t="shared" si="9"/>
        <v>1035294</v>
      </c>
    </row>
    <row r="172" spans="1:17" ht="12" customHeight="1" x14ac:dyDescent="0.2">
      <c r="A172" s="135"/>
      <c r="B172" s="135"/>
      <c r="C172" s="220"/>
      <c r="D172" s="209" t="s">
        <v>581</v>
      </c>
      <c r="E172" s="9"/>
      <c r="F172" s="8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</row>
    <row r="173" spans="1:17" ht="15" customHeight="1" x14ac:dyDescent="0.2">
      <c r="A173" s="135"/>
      <c r="B173" s="135"/>
      <c r="C173" s="223" t="s">
        <v>211</v>
      </c>
      <c r="D173" s="224" t="s">
        <v>591</v>
      </c>
      <c r="E173" s="9"/>
      <c r="F173" s="8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</row>
    <row r="174" spans="1:17" ht="15" customHeight="1" x14ac:dyDescent="0.2">
      <c r="A174" s="135"/>
      <c r="B174" s="135"/>
      <c r="C174" s="225" t="s">
        <v>705</v>
      </c>
      <c r="D174" s="226" t="s">
        <v>0</v>
      </c>
      <c r="E174" s="227"/>
      <c r="F174" s="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</row>
    <row r="175" spans="1:17" ht="42.75" customHeight="1" x14ac:dyDescent="0.2">
      <c r="A175" s="135"/>
      <c r="B175" s="135"/>
      <c r="C175" s="229" t="s">
        <v>1</v>
      </c>
      <c r="D175" s="599" t="s">
        <v>2</v>
      </c>
      <c r="E175" s="187"/>
      <c r="F175" s="7">
        <v>132903</v>
      </c>
      <c r="G175" s="10">
        <f>0+[1]táj.2!G175</f>
        <v>0</v>
      </c>
      <c r="H175" s="10">
        <f>0+[1]táj.2!H175</f>
        <v>0</v>
      </c>
      <c r="I175" s="10">
        <f>0+[1]táj.2!I175</f>
        <v>0</v>
      </c>
      <c r="J175" s="10">
        <f>0+[1]táj.2!J175</f>
        <v>0</v>
      </c>
      <c r="K175" s="10">
        <f>0+[1]táj.2!K175</f>
        <v>0</v>
      </c>
      <c r="L175" s="10">
        <f>0+[1]táj.2!L175</f>
        <v>0</v>
      </c>
      <c r="M175" s="10">
        <f>0+[1]táj.2!M175</f>
        <v>0</v>
      </c>
      <c r="N175" s="10">
        <f>13500+[1]táj.2!N175</f>
        <v>4500</v>
      </c>
      <c r="O175" s="10">
        <f>0+[1]táj.2!O175</f>
        <v>0</v>
      </c>
      <c r="P175" s="10">
        <f>0+[1]táj.2!P175</f>
        <v>0</v>
      </c>
      <c r="Q175" s="228">
        <f t="shared" ref="Q175:Q186" si="10">SUM(G175:P175)</f>
        <v>4500</v>
      </c>
    </row>
    <row r="176" spans="1:17" ht="17.100000000000001" customHeight="1" x14ac:dyDescent="0.2">
      <c r="A176" s="135"/>
      <c r="B176" s="135"/>
      <c r="C176" s="229" t="s">
        <v>3</v>
      </c>
      <c r="D176" s="600" t="s">
        <v>4</v>
      </c>
      <c r="E176" s="187"/>
      <c r="F176" s="7">
        <v>134920</v>
      </c>
      <c r="G176" s="10">
        <f>0+[1]táj.2!G176</f>
        <v>0</v>
      </c>
      <c r="H176" s="10">
        <f>0+[1]táj.2!H176</f>
        <v>0</v>
      </c>
      <c r="I176" s="10">
        <f>0+[1]táj.2!I176</f>
        <v>0</v>
      </c>
      <c r="J176" s="10">
        <f>0+[1]táj.2!J176</f>
        <v>0</v>
      </c>
      <c r="K176" s="10">
        <f>0+[1]táj.2!K176</f>
        <v>0</v>
      </c>
      <c r="L176" s="10">
        <f>0+[1]táj.2!L176</f>
        <v>0</v>
      </c>
      <c r="M176" s="10">
        <f>0+[1]táj.2!M176</f>
        <v>0</v>
      </c>
      <c r="N176" s="10">
        <f>300+[1]táj.2!N176</f>
        <v>300</v>
      </c>
      <c r="O176" s="10">
        <f>0+[1]táj.2!O176</f>
        <v>0</v>
      </c>
      <c r="P176" s="10">
        <f>0+[1]táj.2!P176</f>
        <v>0</v>
      </c>
      <c r="Q176" s="228">
        <f t="shared" si="10"/>
        <v>300</v>
      </c>
    </row>
    <row r="177" spans="1:17" ht="17.100000000000001" customHeight="1" x14ac:dyDescent="0.2">
      <c r="A177" s="135"/>
      <c r="B177" s="135"/>
      <c r="C177" s="229" t="s">
        <v>5</v>
      </c>
      <c r="D177" s="200" t="s">
        <v>6</v>
      </c>
      <c r="E177" s="693"/>
      <c r="F177" s="7">
        <v>134995</v>
      </c>
      <c r="G177" s="10">
        <f>0+[1]táj.2!G177</f>
        <v>0</v>
      </c>
      <c r="H177" s="10">
        <f>0+[1]táj.2!H177</f>
        <v>0</v>
      </c>
      <c r="I177" s="10">
        <f>0+[1]táj.2!I177</f>
        <v>0</v>
      </c>
      <c r="J177" s="10">
        <f>0+[1]táj.2!J177</f>
        <v>0</v>
      </c>
      <c r="K177" s="10">
        <f>0+[1]táj.2!K177</f>
        <v>0</v>
      </c>
      <c r="L177" s="10">
        <f>0+[1]táj.2!L177</f>
        <v>0</v>
      </c>
      <c r="M177" s="10">
        <f>0+[1]táj.2!M177</f>
        <v>0</v>
      </c>
      <c r="N177" s="10">
        <f>250+[1]táj.2!N177</f>
        <v>250</v>
      </c>
      <c r="O177" s="10">
        <f>0+[1]táj.2!O177</f>
        <v>0</v>
      </c>
      <c r="P177" s="10">
        <f>0+[1]táj.2!P177</f>
        <v>0</v>
      </c>
      <c r="Q177" s="228">
        <f t="shared" si="10"/>
        <v>250</v>
      </c>
    </row>
    <row r="178" spans="1:17" ht="17.100000000000001" customHeight="1" x14ac:dyDescent="0.2">
      <c r="A178" s="135"/>
      <c r="B178" s="135"/>
      <c r="C178" s="229" t="s">
        <v>7</v>
      </c>
      <c r="D178" s="230" t="s">
        <v>8</v>
      </c>
      <c r="E178" s="693"/>
      <c r="F178" s="7">
        <v>132928</v>
      </c>
      <c r="G178" s="10">
        <f>0+[1]táj.2!G178</f>
        <v>0</v>
      </c>
      <c r="H178" s="10">
        <f>0+[1]táj.2!H178</f>
        <v>0</v>
      </c>
      <c r="I178" s="10">
        <f>0+[1]táj.2!I178</f>
        <v>0</v>
      </c>
      <c r="J178" s="10">
        <f>0+[1]táj.2!J178</f>
        <v>0</v>
      </c>
      <c r="K178" s="10">
        <f>0+[1]táj.2!K178</f>
        <v>0</v>
      </c>
      <c r="L178" s="10">
        <f>1300+[1]táj.2!L178</f>
        <v>0</v>
      </c>
      <c r="M178" s="10">
        <f>0+[1]táj.2!M178</f>
        <v>0</v>
      </c>
      <c r="N178" s="10">
        <f>0+[1]táj.2!N178</f>
        <v>0</v>
      </c>
      <c r="O178" s="10">
        <f>0+[1]táj.2!O178</f>
        <v>0</v>
      </c>
      <c r="P178" s="10">
        <f>0+[1]táj.2!P178</f>
        <v>0</v>
      </c>
      <c r="Q178" s="228">
        <f t="shared" si="10"/>
        <v>0</v>
      </c>
    </row>
    <row r="179" spans="1:17" ht="17.100000000000001" customHeight="1" x14ac:dyDescent="0.2">
      <c r="A179" s="135"/>
      <c r="B179" s="135"/>
      <c r="C179" s="229" t="s">
        <v>9</v>
      </c>
      <c r="D179" s="230" t="s">
        <v>10</v>
      </c>
      <c r="E179" s="693"/>
      <c r="F179" s="7">
        <v>132929</v>
      </c>
      <c r="G179" s="10">
        <f>0+[1]táj.2!G179</f>
        <v>0</v>
      </c>
      <c r="H179" s="10">
        <f>0+[1]táj.2!H179</f>
        <v>0</v>
      </c>
      <c r="I179" s="10">
        <f>0+[1]táj.2!I179</f>
        <v>0</v>
      </c>
      <c r="J179" s="10">
        <f>0+[1]táj.2!J179</f>
        <v>0</v>
      </c>
      <c r="K179" s="10">
        <f>0+[1]táj.2!K179</f>
        <v>0</v>
      </c>
      <c r="L179" s="10">
        <f>1779+[1]táj.2!L179</f>
        <v>0</v>
      </c>
      <c r="M179" s="10">
        <f>0+[1]táj.2!M179</f>
        <v>0</v>
      </c>
      <c r="N179" s="10">
        <f>0+[1]táj.2!N179</f>
        <v>0</v>
      </c>
      <c r="O179" s="10">
        <f>0+[1]táj.2!O179</f>
        <v>0</v>
      </c>
      <c r="P179" s="10">
        <f>0+[1]táj.2!P179</f>
        <v>0</v>
      </c>
      <c r="Q179" s="228">
        <f t="shared" si="10"/>
        <v>0</v>
      </c>
    </row>
    <row r="180" spans="1:17" ht="17.100000000000001" customHeight="1" x14ac:dyDescent="0.2">
      <c r="A180" s="135"/>
      <c r="B180" s="135"/>
      <c r="C180" s="229" t="s">
        <v>11</v>
      </c>
      <c r="D180" s="231" t="s">
        <v>12</v>
      </c>
      <c r="E180" s="187"/>
      <c r="F180" s="7">
        <v>132930</v>
      </c>
      <c r="G180" s="10">
        <f>0+[1]táj.2!G180</f>
        <v>0</v>
      </c>
      <c r="H180" s="10">
        <f>0+[1]táj.2!H180</f>
        <v>0</v>
      </c>
      <c r="I180" s="10">
        <f>0+[1]táj.2!I180</f>
        <v>0</v>
      </c>
      <c r="J180" s="10">
        <f>0+[1]táj.2!J180</f>
        <v>0</v>
      </c>
      <c r="K180" s="10">
        <f>0+[1]táj.2!K180</f>
        <v>0</v>
      </c>
      <c r="L180" s="10">
        <f>2381+[1]táj.2!L180</f>
        <v>2381</v>
      </c>
      <c r="M180" s="10">
        <f>0+[1]táj.2!M180</f>
        <v>0</v>
      </c>
      <c r="N180" s="10">
        <f>0+[1]táj.2!N180</f>
        <v>0</v>
      </c>
      <c r="O180" s="10">
        <f>0+[1]táj.2!O180</f>
        <v>0</v>
      </c>
      <c r="P180" s="10">
        <f>0+[1]táj.2!P180</f>
        <v>0</v>
      </c>
      <c r="Q180" s="228">
        <f t="shared" si="10"/>
        <v>2381</v>
      </c>
    </row>
    <row r="181" spans="1:17" ht="27" customHeight="1" x14ac:dyDescent="0.2">
      <c r="A181" s="135"/>
      <c r="B181" s="135"/>
      <c r="C181" s="229" t="s">
        <v>13</v>
      </c>
      <c r="D181" s="284" t="s">
        <v>14</v>
      </c>
      <c r="E181" s="187"/>
      <c r="F181" s="627">
        <v>134919</v>
      </c>
      <c r="G181" s="10">
        <f>0+[1]táj.2!G181</f>
        <v>0</v>
      </c>
      <c r="H181" s="10">
        <f>0+[1]táj.2!H181</f>
        <v>0</v>
      </c>
      <c r="I181" s="10">
        <f>0+[1]táj.2!I181</f>
        <v>0</v>
      </c>
      <c r="J181" s="10">
        <f>0+[1]táj.2!J181</f>
        <v>0</v>
      </c>
      <c r="K181" s="10">
        <f>0+[1]táj.2!K181</f>
        <v>0</v>
      </c>
      <c r="L181" s="10">
        <f>0+[1]táj.2!L181</f>
        <v>0</v>
      </c>
      <c r="M181" s="10">
        <f>0+[1]táj.2!M181</f>
        <v>0</v>
      </c>
      <c r="N181" s="10">
        <f>500+[1]táj.2!N181</f>
        <v>770</v>
      </c>
      <c r="O181" s="10">
        <f>0+[1]táj.2!O181</f>
        <v>0</v>
      </c>
      <c r="P181" s="10">
        <f>0+[1]táj.2!P181</f>
        <v>0</v>
      </c>
      <c r="Q181" s="228">
        <f t="shared" si="10"/>
        <v>770</v>
      </c>
    </row>
    <row r="182" spans="1:17" ht="25.5" customHeight="1" x14ac:dyDescent="0.2">
      <c r="A182" s="135"/>
      <c r="B182" s="135"/>
      <c r="C182" s="229" t="s">
        <v>15</v>
      </c>
      <c r="D182" s="200" t="s">
        <v>16</v>
      </c>
      <c r="E182" s="187"/>
      <c r="F182" s="7">
        <v>132904</v>
      </c>
      <c r="G182" s="10">
        <f>0+[1]táj.2!G182</f>
        <v>0</v>
      </c>
      <c r="H182" s="10">
        <f>0+[1]táj.2!H182</f>
        <v>0</v>
      </c>
      <c r="I182" s="10">
        <f>0+[1]táj.2!I182</f>
        <v>0</v>
      </c>
      <c r="J182" s="10">
        <f>0+[1]táj.2!J182</f>
        <v>0</v>
      </c>
      <c r="K182" s="10">
        <f>0+[1]táj.2!K182</f>
        <v>0</v>
      </c>
      <c r="L182" s="10">
        <f>3000+[1]táj.2!L182</f>
        <v>1400</v>
      </c>
      <c r="M182" s="10">
        <f>0+[1]táj.2!M182</f>
        <v>0</v>
      </c>
      <c r="N182" s="10">
        <f>0+[1]táj.2!N182</f>
        <v>1600</v>
      </c>
      <c r="O182" s="10">
        <f>0+[1]táj.2!O182</f>
        <v>0</v>
      </c>
      <c r="P182" s="10">
        <f>0+[1]táj.2!P182</f>
        <v>0</v>
      </c>
      <c r="Q182" s="228">
        <f t="shared" si="10"/>
        <v>3000</v>
      </c>
    </row>
    <row r="183" spans="1:17" ht="18" customHeight="1" x14ac:dyDescent="0.2">
      <c r="A183" s="135"/>
      <c r="B183" s="135"/>
      <c r="C183" s="229" t="s">
        <v>17</v>
      </c>
      <c r="D183" s="200" t="s">
        <v>18</v>
      </c>
      <c r="E183" s="187"/>
      <c r="F183" s="7">
        <v>134908</v>
      </c>
      <c r="G183" s="10">
        <f>0+[1]táj.2!G183</f>
        <v>0</v>
      </c>
      <c r="H183" s="10">
        <f>0+[1]táj.2!H183</f>
        <v>0</v>
      </c>
      <c r="I183" s="10">
        <f>0+[1]táj.2!I183</f>
        <v>0</v>
      </c>
      <c r="J183" s="10">
        <f>0+[1]táj.2!J183</f>
        <v>0</v>
      </c>
      <c r="K183" s="10">
        <f>0+[1]táj.2!K183</f>
        <v>0</v>
      </c>
      <c r="L183" s="10">
        <f>0+[1]táj.2!L183</f>
        <v>0</v>
      </c>
      <c r="M183" s="10">
        <f>2500+[1]táj.2!M183</f>
        <v>2113</v>
      </c>
      <c r="N183" s="10">
        <f>0+[1]táj.2!N183</f>
        <v>0</v>
      </c>
      <c r="O183" s="10">
        <f>0+[1]táj.2!O183</f>
        <v>0</v>
      </c>
      <c r="P183" s="10">
        <f>0+[1]táj.2!P183</f>
        <v>0</v>
      </c>
      <c r="Q183" s="228">
        <f t="shared" si="10"/>
        <v>2113</v>
      </c>
    </row>
    <row r="184" spans="1:17" ht="18" customHeight="1" x14ac:dyDescent="0.2">
      <c r="A184" s="135"/>
      <c r="B184" s="135"/>
      <c r="C184" s="229" t="s">
        <v>67</v>
      </c>
      <c r="D184" s="290" t="s">
        <v>68</v>
      </c>
      <c r="E184" s="596"/>
      <c r="F184" s="7">
        <v>132934</v>
      </c>
      <c r="G184" s="10">
        <f>0+[1]táj.2!G184</f>
        <v>0</v>
      </c>
      <c r="H184" s="10">
        <f>0+[1]táj.2!H184</f>
        <v>0</v>
      </c>
      <c r="I184" s="10">
        <f>0+[1]táj.2!I184</f>
        <v>2477</v>
      </c>
      <c r="J184" s="10">
        <f>0+[1]táj.2!J184</f>
        <v>0</v>
      </c>
      <c r="K184" s="10">
        <f>0+[1]táj.2!K184</f>
        <v>0</v>
      </c>
      <c r="L184" s="10">
        <f>2000+[1]táj.2!L184</f>
        <v>0</v>
      </c>
      <c r="M184" s="10">
        <f>0+[1]táj.2!M184</f>
        <v>0</v>
      </c>
      <c r="N184" s="10">
        <f>0+[1]táj.2!N184</f>
        <v>0</v>
      </c>
      <c r="O184" s="10">
        <f>0+[1]táj.2!O184</f>
        <v>0</v>
      </c>
      <c r="P184" s="10">
        <f>0+[1]táj.2!P184</f>
        <v>0</v>
      </c>
      <c r="Q184" s="228">
        <f t="shared" si="10"/>
        <v>2477</v>
      </c>
    </row>
    <row r="185" spans="1:17" ht="18" customHeight="1" x14ac:dyDescent="0.2">
      <c r="A185" s="135"/>
      <c r="B185" s="135"/>
      <c r="C185" s="229" t="s">
        <v>69</v>
      </c>
      <c r="D185" s="200" t="s">
        <v>70</v>
      </c>
      <c r="E185" s="187"/>
      <c r="F185" s="7">
        <v>134937</v>
      </c>
      <c r="G185" s="10">
        <f>0+[1]táj.2!G185</f>
        <v>0</v>
      </c>
      <c r="H185" s="10">
        <f>0+[1]táj.2!H185</f>
        <v>0</v>
      </c>
      <c r="I185" s="10">
        <f>0+[1]táj.2!I185</f>
        <v>0</v>
      </c>
      <c r="J185" s="10">
        <f>0+[1]táj.2!J185</f>
        <v>0</v>
      </c>
      <c r="K185" s="10">
        <f>0+[1]táj.2!K185</f>
        <v>0</v>
      </c>
      <c r="L185" s="10">
        <f>0+[1]táj.2!L185</f>
        <v>0</v>
      </c>
      <c r="M185" s="10">
        <f>336+[1]táj.2!M185</f>
        <v>723</v>
      </c>
      <c r="N185" s="10">
        <f>0+[1]táj.2!N185</f>
        <v>0</v>
      </c>
      <c r="O185" s="10">
        <f>0+[1]táj.2!O185</f>
        <v>0</v>
      </c>
      <c r="P185" s="10">
        <f>0+[1]táj.2!P185</f>
        <v>0</v>
      </c>
      <c r="Q185" s="228">
        <f t="shared" si="10"/>
        <v>723</v>
      </c>
    </row>
    <row r="186" spans="1:17" ht="18" customHeight="1" x14ac:dyDescent="0.2">
      <c r="A186" s="135"/>
      <c r="B186" s="135"/>
      <c r="C186" s="229" t="s">
        <v>71</v>
      </c>
      <c r="D186" s="200" t="s">
        <v>72</v>
      </c>
      <c r="E186" s="187"/>
      <c r="F186" s="7">
        <v>134938</v>
      </c>
      <c r="G186" s="10">
        <f>0+[1]táj.2!G186</f>
        <v>0</v>
      </c>
      <c r="H186" s="10">
        <f>0+[1]táj.2!H186</f>
        <v>0</v>
      </c>
      <c r="I186" s="10">
        <f>0+[1]táj.2!I186</f>
        <v>0</v>
      </c>
      <c r="J186" s="10">
        <f>0+[1]táj.2!J186</f>
        <v>0</v>
      </c>
      <c r="K186" s="10">
        <f>0+[1]táj.2!K186</f>
        <v>0</v>
      </c>
      <c r="L186" s="10">
        <f>0+[1]táj.2!L186</f>
        <v>0</v>
      </c>
      <c r="M186" s="10">
        <f>0+[1]táj.2!M186</f>
        <v>0</v>
      </c>
      <c r="N186" s="10">
        <f>500+[1]táj.2!N186</f>
        <v>500</v>
      </c>
      <c r="O186" s="10">
        <f>0+[1]táj.2!O186</f>
        <v>0</v>
      </c>
      <c r="P186" s="10">
        <f>0+[1]táj.2!P186</f>
        <v>0</v>
      </c>
      <c r="Q186" s="228">
        <f t="shared" si="10"/>
        <v>500</v>
      </c>
    </row>
    <row r="187" spans="1:17" ht="15" customHeight="1" x14ac:dyDescent="0.2">
      <c r="A187" s="135"/>
      <c r="B187" s="135"/>
      <c r="C187" s="220" t="s">
        <v>19</v>
      </c>
      <c r="D187" s="232" t="s">
        <v>20</v>
      </c>
      <c r="E187" s="187"/>
      <c r="F187" s="7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228"/>
    </row>
    <row r="188" spans="1:17" ht="26.25" customHeight="1" x14ac:dyDescent="0.2">
      <c r="A188" s="135"/>
      <c r="B188" s="135"/>
      <c r="C188" s="233" t="s">
        <v>21</v>
      </c>
      <c r="D188" s="284" t="s">
        <v>22</v>
      </c>
      <c r="E188" s="187"/>
      <c r="F188" s="7">
        <v>134928</v>
      </c>
      <c r="G188" s="10">
        <f>0+[1]táj.2!G188</f>
        <v>0</v>
      </c>
      <c r="H188" s="10">
        <f>0+[1]táj.2!H188</f>
        <v>0</v>
      </c>
      <c r="I188" s="10">
        <f>0+[1]táj.2!I188</f>
        <v>0</v>
      </c>
      <c r="J188" s="10">
        <f>0+[1]táj.2!J188</f>
        <v>0</v>
      </c>
      <c r="K188" s="10">
        <f>0+[1]táj.2!K188</f>
        <v>0</v>
      </c>
      <c r="L188" s="10">
        <f>0+[1]táj.2!L188</f>
        <v>0</v>
      </c>
      <c r="M188" s="10">
        <f>0+[1]táj.2!M188</f>
        <v>0</v>
      </c>
      <c r="N188" s="10">
        <f>300+[1]táj.2!N188</f>
        <v>0</v>
      </c>
      <c r="O188" s="10">
        <f>0+[1]táj.2!O188</f>
        <v>0</v>
      </c>
      <c r="P188" s="10">
        <f>0+[1]táj.2!P188</f>
        <v>0</v>
      </c>
      <c r="Q188" s="228">
        <f>SUM(G188:P188)</f>
        <v>0</v>
      </c>
    </row>
    <row r="189" spans="1:17" ht="15" customHeight="1" x14ac:dyDescent="0.2">
      <c r="A189" s="135"/>
      <c r="B189" s="135"/>
      <c r="C189" s="233" t="s">
        <v>23</v>
      </c>
      <c r="D189" s="234" t="s">
        <v>24</v>
      </c>
      <c r="E189" s="187"/>
      <c r="F189" s="7">
        <v>134914</v>
      </c>
      <c r="G189" s="10">
        <f>0+[1]táj.2!G189</f>
        <v>0</v>
      </c>
      <c r="H189" s="10">
        <f>0+[1]táj.2!H189</f>
        <v>0</v>
      </c>
      <c r="I189" s="10">
        <f>0+[1]táj.2!I189</f>
        <v>0</v>
      </c>
      <c r="J189" s="10">
        <f>0+[1]táj.2!J189</f>
        <v>0</v>
      </c>
      <c r="K189" s="10">
        <f>0+[1]táj.2!K189</f>
        <v>0</v>
      </c>
      <c r="L189" s="10">
        <f>0+[1]táj.2!L189</f>
        <v>0</v>
      </c>
      <c r="M189" s="10">
        <f>0+[1]táj.2!M189</f>
        <v>0</v>
      </c>
      <c r="N189" s="10">
        <f>500+[1]táj.2!N189</f>
        <v>0</v>
      </c>
      <c r="O189" s="10">
        <f>0+[1]táj.2!O189</f>
        <v>0</v>
      </c>
      <c r="P189" s="10">
        <f>0+[1]táj.2!P189</f>
        <v>0</v>
      </c>
      <c r="Q189" s="228">
        <f t="shared" ref="Q189:Q195" si="11">SUM(L189:P189)</f>
        <v>0</v>
      </c>
    </row>
    <row r="190" spans="1:17" ht="15" customHeight="1" x14ac:dyDescent="0.2">
      <c r="A190" s="135"/>
      <c r="B190" s="135"/>
      <c r="C190" s="233" t="s">
        <v>25</v>
      </c>
      <c r="D190" s="200" t="s">
        <v>26</v>
      </c>
      <c r="E190" s="187"/>
      <c r="F190" s="7">
        <v>132905</v>
      </c>
      <c r="G190" s="10">
        <f>0+[1]táj.2!G190</f>
        <v>0</v>
      </c>
      <c r="H190" s="10">
        <f>0+[1]táj.2!H190</f>
        <v>0</v>
      </c>
      <c r="I190" s="10">
        <f>0+[1]táj.2!I190</f>
        <v>0</v>
      </c>
      <c r="J190" s="10">
        <f>0+[1]táj.2!J190</f>
        <v>0</v>
      </c>
      <c r="K190" s="10">
        <f>0+[1]táj.2!K190</f>
        <v>0</v>
      </c>
      <c r="L190" s="10">
        <f>0+[1]táj.2!L190</f>
        <v>0</v>
      </c>
      <c r="M190" s="10">
        <f>0+[1]táj.2!M190</f>
        <v>0</v>
      </c>
      <c r="N190" s="10">
        <f>500+[1]táj.2!N190</f>
        <v>500</v>
      </c>
      <c r="O190" s="10">
        <f>0+[1]táj.2!O190</f>
        <v>0</v>
      </c>
      <c r="P190" s="10">
        <f>0+[1]táj.2!P190</f>
        <v>0</v>
      </c>
      <c r="Q190" s="228">
        <f t="shared" si="11"/>
        <v>500</v>
      </c>
    </row>
    <row r="191" spans="1:17" ht="15" customHeight="1" x14ac:dyDescent="0.2">
      <c r="A191" s="135"/>
      <c r="B191" s="135"/>
      <c r="C191" s="233" t="s">
        <v>27</v>
      </c>
      <c r="D191" s="200" t="s">
        <v>28</v>
      </c>
      <c r="E191" s="187"/>
      <c r="F191" s="7">
        <v>134929</v>
      </c>
      <c r="G191" s="10">
        <f>0+[1]táj.2!G191</f>
        <v>0</v>
      </c>
      <c r="H191" s="10">
        <f>0+[1]táj.2!H191</f>
        <v>0</v>
      </c>
      <c r="I191" s="10">
        <f>0+[1]táj.2!I191</f>
        <v>0</v>
      </c>
      <c r="J191" s="10">
        <f>0+[1]táj.2!J191</f>
        <v>0</v>
      </c>
      <c r="K191" s="10">
        <f>0+[1]táj.2!K191</f>
        <v>0</v>
      </c>
      <c r="L191" s="10">
        <f>0+[1]táj.2!L191</f>
        <v>0</v>
      </c>
      <c r="M191" s="10">
        <f>0+[1]táj.2!M191</f>
        <v>0</v>
      </c>
      <c r="N191" s="10">
        <f>400+[1]táj.2!N191</f>
        <v>0</v>
      </c>
      <c r="O191" s="10">
        <f>0+[1]táj.2!O191</f>
        <v>0</v>
      </c>
      <c r="P191" s="10">
        <f>0+[1]táj.2!P191</f>
        <v>0</v>
      </c>
      <c r="Q191" s="228">
        <f t="shared" si="11"/>
        <v>0</v>
      </c>
    </row>
    <row r="192" spans="1:17" ht="21" customHeight="1" x14ac:dyDescent="0.2">
      <c r="A192" s="135"/>
      <c r="B192" s="135"/>
      <c r="C192" s="233" t="s">
        <v>29</v>
      </c>
      <c r="D192" s="284" t="s">
        <v>30</v>
      </c>
      <c r="E192" s="187"/>
      <c r="F192" s="7">
        <v>132932</v>
      </c>
      <c r="G192" s="10">
        <f>0+[1]táj.2!G192</f>
        <v>0</v>
      </c>
      <c r="H192" s="10">
        <f>0+[1]táj.2!H192</f>
        <v>0</v>
      </c>
      <c r="I192" s="10">
        <f>0+[1]táj.2!I192</f>
        <v>0</v>
      </c>
      <c r="J192" s="10">
        <f>0+[1]táj.2!J192</f>
        <v>0</v>
      </c>
      <c r="K192" s="10">
        <f>0+[1]táj.2!K192</f>
        <v>0</v>
      </c>
      <c r="L192" s="10">
        <f>900+[1]táj.2!L192</f>
        <v>0</v>
      </c>
      <c r="M192" s="10">
        <f>0+[1]táj.2!M192</f>
        <v>0</v>
      </c>
      <c r="N192" s="10">
        <f>0+[1]táj.2!N192</f>
        <v>0</v>
      </c>
      <c r="O192" s="10">
        <f>0+[1]táj.2!O192</f>
        <v>0</v>
      </c>
      <c r="P192" s="10">
        <f>0+[1]táj.2!P192</f>
        <v>0</v>
      </c>
      <c r="Q192" s="228">
        <f t="shared" si="11"/>
        <v>0</v>
      </c>
    </row>
    <row r="193" spans="1:17" ht="26.25" customHeight="1" x14ac:dyDescent="0.2">
      <c r="A193" s="135"/>
      <c r="B193" s="135"/>
      <c r="C193" s="233" t="s">
        <v>31</v>
      </c>
      <c r="D193" s="261" t="s">
        <v>32</v>
      </c>
      <c r="E193" s="187"/>
      <c r="F193" s="7">
        <v>134931</v>
      </c>
      <c r="G193" s="10">
        <f>0+[1]táj.2!G193</f>
        <v>0</v>
      </c>
      <c r="H193" s="10">
        <f>0+[1]táj.2!H193</f>
        <v>0</v>
      </c>
      <c r="I193" s="10">
        <f>0+[1]táj.2!I193</f>
        <v>0</v>
      </c>
      <c r="J193" s="10">
        <f>0+[1]táj.2!J193</f>
        <v>0</v>
      </c>
      <c r="K193" s="10">
        <f>0+[1]táj.2!K193</f>
        <v>0</v>
      </c>
      <c r="L193" s="10">
        <f>0+[1]táj.2!L193</f>
        <v>0</v>
      </c>
      <c r="M193" s="10">
        <f>0+[1]táj.2!M193</f>
        <v>0</v>
      </c>
      <c r="N193" s="10">
        <f>1500+[1]táj.2!N193</f>
        <v>0</v>
      </c>
      <c r="O193" s="10">
        <f>0+[1]táj.2!O193</f>
        <v>0</v>
      </c>
      <c r="P193" s="10">
        <f>0+[1]táj.2!P193</f>
        <v>0</v>
      </c>
      <c r="Q193" s="228">
        <f t="shared" si="11"/>
        <v>0</v>
      </c>
    </row>
    <row r="194" spans="1:17" ht="18.75" customHeight="1" x14ac:dyDescent="0.2">
      <c r="A194" s="135"/>
      <c r="B194" s="135"/>
      <c r="C194" s="233" t="s">
        <v>33</v>
      </c>
      <c r="D194" s="234" t="s">
        <v>1423</v>
      </c>
      <c r="E194" s="187"/>
      <c r="F194" s="7">
        <v>134930</v>
      </c>
      <c r="G194" s="10">
        <f>0+[1]táj.2!G194</f>
        <v>0</v>
      </c>
      <c r="H194" s="10">
        <f>0+[1]táj.2!H194</f>
        <v>0</v>
      </c>
      <c r="I194" s="10">
        <f>0+[1]táj.2!I194</f>
        <v>0</v>
      </c>
      <c r="J194" s="10">
        <f>0+[1]táj.2!J194</f>
        <v>0</v>
      </c>
      <c r="K194" s="10">
        <f>0+[1]táj.2!K194</f>
        <v>0</v>
      </c>
      <c r="L194" s="10">
        <f>0+[1]táj.2!L194</f>
        <v>0</v>
      </c>
      <c r="M194" s="10">
        <f>2500+[1]táj.2!M194</f>
        <v>0</v>
      </c>
      <c r="N194" s="10">
        <f>0+[1]táj.2!N194</f>
        <v>0</v>
      </c>
      <c r="O194" s="10">
        <f>0+[1]táj.2!O194</f>
        <v>0</v>
      </c>
      <c r="P194" s="10">
        <f>0+[1]táj.2!P194</f>
        <v>0</v>
      </c>
      <c r="Q194" s="228">
        <f t="shared" si="11"/>
        <v>0</v>
      </c>
    </row>
    <row r="195" spans="1:17" ht="27" customHeight="1" x14ac:dyDescent="0.2">
      <c r="A195" s="135"/>
      <c r="B195" s="135"/>
      <c r="C195" s="233" t="s">
        <v>34</v>
      </c>
      <c r="D195" s="234" t="s">
        <v>97</v>
      </c>
      <c r="E195" s="187"/>
      <c r="F195" s="7">
        <v>132933</v>
      </c>
      <c r="G195" s="10">
        <f>0+[1]táj.2!G195</f>
        <v>0</v>
      </c>
      <c r="H195" s="10">
        <f>0+[1]táj.2!H195</f>
        <v>0</v>
      </c>
      <c r="I195" s="10">
        <f>0+[1]táj.2!I195</f>
        <v>0</v>
      </c>
      <c r="J195" s="10">
        <f>0+[1]táj.2!J195</f>
        <v>0</v>
      </c>
      <c r="K195" s="10">
        <f>0+[1]táj.2!K195</f>
        <v>0</v>
      </c>
      <c r="L195" s="10">
        <f>1200+[1]táj.2!L195</f>
        <v>1200</v>
      </c>
      <c r="M195" s="10">
        <f>0+[1]táj.2!M195</f>
        <v>0</v>
      </c>
      <c r="N195" s="10">
        <f>0+[1]táj.2!N195</f>
        <v>0</v>
      </c>
      <c r="O195" s="10">
        <f>0+[1]táj.2!O195</f>
        <v>0</v>
      </c>
      <c r="P195" s="10">
        <f>0+[1]táj.2!P195</f>
        <v>0</v>
      </c>
      <c r="Q195" s="228">
        <f t="shared" si="11"/>
        <v>1200</v>
      </c>
    </row>
    <row r="196" spans="1:17" ht="15" customHeight="1" x14ac:dyDescent="0.2">
      <c r="A196" s="135"/>
      <c r="B196" s="135"/>
      <c r="C196" s="235" t="s">
        <v>35</v>
      </c>
      <c r="D196" s="236" t="s">
        <v>36</v>
      </c>
      <c r="E196" s="187"/>
      <c r="F196" s="7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228"/>
    </row>
    <row r="197" spans="1:17" ht="22.5" customHeight="1" x14ac:dyDescent="0.2">
      <c r="A197" s="135"/>
      <c r="B197" s="135"/>
      <c r="C197" s="237" t="s">
        <v>37</v>
      </c>
      <c r="D197" s="200" t="s">
        <v>38</v>
      </c>
      <c r="E197" s="9"/>
      <c r="F197" s="7">
        <v>132992</v>
      </c>
      <c r="G197" s="10">
        <f>0+[1]táj.2!G197</f>
        <v>0</v>
      </c>
      <c r="H197" s="10">
        <f>0+[1]táj.2!H197</f>
        <v>0</v>
      </c>
      <c r="I197" s="10">
        <f>0+[1]táj.2!I197</f>
        <v>0</v>
      </c>
      <c r="J197" s="10">
        <f>0+[1]táj.2!J197</f>
        <v>0</v>
      </c>
      <c r="K197" s="10">
        <f>0+[1]táj.2!K197</f>
        <v>0</v>
      </c>
      <c r="L197" s="10">
        <f>0+[1]táj.2!L197</f>
        <v>0</v>
      </c>
      <c r="M197" s="10">
        <f>0+[1]táj.2!M197</f>
        <v>0</v>
      </c>
      <c r="N197" s="10">
        <f>200+[1]táj.2!N197</f>
        <v>200</v>
      </c>
      <c r="O197" s="10">
        <f>0+[1]táj.2!O197</f>
        <v>0</v>
      </c>
      <c r="P197" s="10">
        <f>0+[1]táj.2!P197</f>
        <v>0</v>
      </c>
      <c r="Q197" s="228">
        <f>SUM(M197:P197)</f>
        <v>200</v>
      </c>
    </row>
    <row r="198" spans="1:17" ht="15" customHeight="1" x14ac:dyDescent="0.2">
      <c r="A198" s="135"/>
      <c r="B198" s="135"/>
      <c r="C198" s="238" t="s">
        <v>210</v>
      </c>
      <c r="D198" s="223" t="s">
        <v>599</v>
      </c>
      <c r="E198" s="9"/>
      <c r="F198" s="7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228"/>
    </row>
    <row r="199" spans="1:17" ht="24" customHeight="1" x14ac:dyDescent="0.2">
      <c r="A199" s="135"/>
      <c r="B199" s="135"/>
      <c r="C199" s="178" t="s">
        <v>39</v>
      </c>
      <c r="D199" s="200" t="s">
        <v>40</v>
      </c>
      <c r="E199" s="9"/>
      <c r="F199" s="7">
        <v>132909</v>
      </c>
      <c r="G199" s="10">
        <f>0+[1]táj.2!G199</f>
        <v>0</v>
      </c>
      <c r="H199" s="10">
        <f>0+[1]táj.2!H199</f>
        <v>0</v>
      </c>
      <c r="I199" s="10">
        <f>0+[1]táj.2!I199</f>
        <v>0</v>
      </c>
      <c r="J199" s="10">
        <f>0+[1]táj.2!J199</f>
        <v>0</v>
      </c>
      <c r="K199" s="10">
        <f>0+[1]táj.2!K199</f>
        <v>0</v>
      </c>
      <c r="L199" s="10">
        <f>500+[1]táj.2!L199</f>
        <v>0</v>
      </c>
      <c r="M199" s="10">
        <f>0+[1]táj.2!M199</f>
        <v>0</v>
      </c>
      <c r="N199" s="10">
        <f>0+[1]táj.2!N199</f>
        <v>0</v>
      </c>
      <c r="O199" s="10">
        <f>0+[1]táj.2!O199</f>
        <v>0</v>
      </c>
      <c r="P199" s="10">
        <f>0+[1]táj.2!P199</f>
        <v>0</v>
      </c>
      <c r="Q199" s="228">
        <f>SUM(G199:P199)</f>
        <v>0</v>
      </c>
    </row>
    <row r="200" spans="1:17" ht="17.25" customHeight="1" x14ac:dyDescent="0.2">
      <c r="A200" s="135"/>
      <c r="B200" s="135"/>
      <c r="C200" s="178" t="s">
        <v>41</v>
      </c>
      <c r="D200" s="200" t="s">
        <v>42</v>
      </c>
      <c r="E200" s="9"/>
      <c r="F200" s="7">
        <v>132921</v>
      </c>
      <c r="G200" s="10">
        <f>0+[1]táj.2!G200</f>
        <v>0</v>
      </c>
      <c r="H200" s="10">
        <f>0+[1]táj.2!H200</f>
        <v>0</v>
      </c>
      <c r="I200" s="10">
        <f>0+[1]táj.2!I200</f>
        <v>0</v>
      </c>
      <c r="J200" s="10">
        <f>0+[1]táj.2!J200</f>
        <v>0</v>
      </c>
      <c r="K200" s="10">
        <f>0+[1]táj.2!K200</f>
        <v>0</v>
      </c>
      <c r="L200" s="10">
        <f>700+[1]táj.2!L200</f>
        <v>700</v>
      </c>
      <c r="M200" s="10">
        <f>0+[1]táj.2!M200</f>
        <v>0</v>
      </c>
      <c r="N200" s="10">
        <f>0+[1]táj.2!N200</f>
        <v>0</v>
      </c>
      <c r="O200" s="10">
        <f>0+[1]táj.2!O200</f>
        <v>0</v>
      </c>
      <c r="P200" s="10">
        <f>0+[1]táj.2!P200</f>
        <v>0</v>
      </c>
      <c r="Q200" s="228">
        <f>SUM(G200:P200)</f>
        <v>700</v>
      </c>
    </row>
    <row r="201" spans="1:17" ht="17.25" customHeight="1" x14ac:dyDescent="0.2">
      <c r="A201" s="135"/>
      <c r="B201" s="135"/>
      <c r="C201" s="178" t="s">
        <v>1432</v>
      </c>
      <c r="D201" s="247" t="s">
        <v>73</v>
      </c>
      <c r="E201" s="9"/>
      <c r="F201" s="7">
        <v>134932</v>
      </c>
      <c r="G201" s="10">
        <f>0+[1]táj.2!G201</f>
        <v>0</v>
      </c>
      <c r="H201" s="10">
        <f>0+[1]táj.2!H201</f>
        <v>0</v>
      </c>
      <c r="I201" s="10">
        <f>11000+[1]táj.2!I201</f>
        <v>11000</v>
      </c>
      <c r="J201" s="10">
        <f>0+[1]táj.2!J201</f>
        <v>0</v>
      </c>
      <c r="K201" s="10">
        <f>0+[1]táj.2!K201</f>
        <v>0</v>
      </c>
      <c r="L201" s="10">
        <f>0+[1]táj.2!L201</f>
        <v>0</v>
      </c>
      <c r="M201" s="10">
        <f>0+[1]táj.2!M201</f>
        <v>0</v>
      </c>
      <c r="N201" s="10">
        <f>0+[1]táj.2!N201</f>
        <v>0</v>
      </c>
      <c r="O201" s="10">
        <f>0+[1]táj.2!O201</f>
        <v>0</v>
      </c>
      <c r="P201" s="10">
        <f>0+[1]táj.2!P201</f>
        <v>0</v>
      </c>
      <c r="Q201" s="228">
        <f>SUM(G201:P201)</f>
        <v>11000</v>
      </c>
    </row>
    <row r="202" spans="1:17" ht="15" customHeight="1" x14ac:dyDescent="0.2">
      <c r="A202" s="135"/>
      <c r="B202" s="135"/>
      <c r="C202" s="240" t="s">
        <v>212</v>
      </c>
      <c r="D202" s="223" t="s">
        <v>727</v>
      </c>
      <c r="E202" s="187"/>
      <c r="F202" s="7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228"/>
    </row>
    <row r="203" spans="1:17" ht="15" customHeight="1" x14ac:dyDescent="0.2">
      <c r="A203" s="135"/>
      <c r="B203" s="135"/>
      <c r="C203" s="237" t="s">
        <v>728</v>
      </c>
      <c r="D203" s="200" t="s">
        <v>74</v>
      </c>
      <c r="E203" s="187"/>
      <c r="F203" s="7">
        <v>134999</v>
      </c>
      <c r="G203" s="10">
        <f>0+[1]táj.2!G203</f>
        <v>0</v>
      </c>
      <c r="H203" s="10">
        <f>0+[1]táj.2!H203</f>
        <v>0</v>
      </c>
      <c r="I203" s="10">
        <f>0+[1]táj.2!I203</f>
        <v>0</v>
      </c>
      <c r="J203" s="10">
        <f>0+[1]táj.2!J203</f>
        <v>0</v>
      </c>
      <c r="K203" s="10">
        <f>0+[1]táj.2!K203</f>
        <v>0</v>
      </c>
      <c r="L203" s="10">
        <f>0+[1]táj.2!L203</f>
        <v>0</v>
      </c>
      <c r="M203" s="10">
        <f>0+[1]táj.2!M203</f>
        <v>0</v>
      </c>
      <c r="N203" s="10">
        <f>500+[1]táj.2!N203</f>
        <v>500</v>
      </c>
      <c r="O203" s="10">
        <f>0+[1]táj.2!O203</f>
        <v>0</v>
      </c>
      <c r="P203" s="10">
        <f>0+[1]táj.2!P203</f>
        <v>0</v>
      </c>
      <c r="Q203" s="228">
        <f t="shared" ref="Q203:Q209" si="12">SUM(G203:P203)</f>
        <v>500</v>
      </c>
    </row>
    <row r="204" spans="1:17" ht="15" customHeight="1" x14ac:dyDescent="0.2">
      <c r="A204" s="135"/>
      <c r="B204" s="135"/>
      <c r="C204" s="237" t="s">
        <v>729</v>
      </c>
      <c r="D204" s="200" t="s">
        <v>730</v>
      </c>
      <c r="E204" s="187"/>
      <c r="F204" s="7">
        <v>134926</v>
      </c>
      <c r="G204" s="10">
        <f>0+[1]táj.2!G204</f>
        <v>0</v>
      </c>
      <c r="H204" s="10">
        <f>0+[1]táj.2!H204</f>
        <v>0</v>
      </c>
      <c r="I204" s="10">
        <f>0+[1]táj.2!I204</f>
        <v>0</v>
      </c>
      <c r="J204" s="10">
        <f>0+[1]táj.2!J204</f>
        <v>0</v>
      </c>
      <c r="K204" s="10">
        <f>0+[1]táj.2!K204</f>
        <v>0</v>
      </c>
      <c r="L204" s="10">
        <f>0+[1]táj.2!L204</f>
        <v>0</v>
      </c>
      <c r="M204" s="10">
        <f>0+[1]táj.2!M204</f>
        <v>0</v>
      </c>
      <c r="N204" s="10">
        <f>1000+[1]táj.2!N204</f>
        <v>1000</v>
      </c>
      <c r="O204" s="10">
        <f>0+[1]táj.2!O204</f>
        <v>0</v>
      </c>
      <c r="P204" s="10">
        <f>0+[1]táj.2!P204</f>
        <v>0</v>
      </c>
      <c r="Q204" s="228">
        <f t="shared" si="12"/>
        <v>1000</v>
      </c>
    </row>
    <row r="205" spans="1:17" ht="25.5" x14ac:dyDescent="0.2">
      <c r="A205" s="135"/>
      <c r="B205" s="135"/>
      <c r="C205" s="237" t="s">
        <v>890</v>
      </c>
      <c r="D205" s="310" t="s">
        <v>731</v>
      </c>
      <c r="E205" s="187"/>
      <c r="F205" s="7">
        <v>134933</v>
      </c>
      <c r="G205" s="10">
        <f>0+[1]táj.2!G205</f>
        <v>0</v>
      </c>
      <c r="H205" s="10">
        <f>0+[1]táj.2!H205</f>
        <v>0</v>
      </c>
      <c r="I205" s="10">
        <f>0+[1]táj.2!I205</f>
        <v>3800</v>
      </c>
      <c r="J205" s="10">
        <f>0+[1]táj.2!J205</f>
        <v>0</v>
      </c>
      <c r="K205" s="10">
        <f>0+[1]táj.2!K205</f>
        <v>0</v>
      </c>
      <c r="L205" s="10">
        <f>0+[1]táj.2!L205</f>
        <v>0</v>
      </c>
      <c r="M205" s="10">
        <f>3800+[1]táj.2!M205</f>
        <v>0</v>
      </c>
      <c r="N205" s="10">
        <f>0+[1]táj.2!N205</f>
        <v>0</v>
      </c>
      <c r="O205" s="10">
        <f>0+[1]táj.2!O205</f>
        <v>0</v>
      </c>
      <c r="P205" s="10">
        <f>0+[1]táj.2!P205</f>
        <v>0</v>
      </c>
      <c r="Q205" s="228">
        <f t="shared" si="12"/>
        <v>3800</v>
      </c>
    </row>
    <row r="206" spans="1:17" ht="12.75" x14ac:dyDescent="0.2">
      <c r="A206" s="135"/>
      <c r="B206" s="135"/>
      <c r="C206" s="507" t="s">
        <v>892</v>
      </c>
      <c r="D206" s="310" t="s">
        <v>1425</v>
      </c>
      <c r="E206" s="187"/>
      <c r="F206" s="7">
        <v>134936</v>
      </c>
      <c r="G206" s="10">
        <f>0+[1]táj.2!G206</f>
        <v>0</v>
      </c>
      <c r="H206" s="10">
        <f>0+[1]táj.2!H206</f>
        <v>0</v>
      </c>
      <c r="I206" s="10">
        <f>0+[1]táj.2!I206</f>
        <v>0</v>
      </c>
      <c r="J206" s="10">
        <f>0+[1]táj.2!J206</f>
        <v>0</v>
      </c>
      <c r="K206" s="10">
        <f>0+[1]táj.2!K206</f>
        <v>0</v>
      </c>
      <c r="L206" s="10">
        <f>0+[1]táj.2!L206</f>
        <v>0</v>
      </c>
      <c r="M206" s="10">
        <f>4703+[1]táj.2!M206</f>
        <v>4703</v>
      </c>
      <c r="N206" s="10">
        <f>0+[1]táj.2!N206</f>
        <v>0</v>
      </c>
      <c r="O206" s="10">
        <f>0+[1]táj.2!O206</f>
        <v>0</v>
      </c>
      <c r="P206" s="10">
        <f>0+[1]táj.2!P206</f>
        <v>0</v>
      </c>
      <c r="Q206" s="228">
        <f t="shared" si="12"/>
        <v>4703</v>
      </c>
    </row>
    <row r="207" spans="1:17" ht="25.5" x14ac:dyDescent="0.2">
      <c r="A207" s="135"/>
      <c r="B207" s="135"/>
      <c r="C207" s="239" t="s">
        <v>75</v>
      </c>
      <c r="D207" s="310" t="s">
        <v>76</v>
      </c>
      <c r="E207" s="187"/>
      <c r="F207" s="7">
        <v>134924</v>
      </c>
      <c r="G207" s="10">
        <f>0+[1]táj.2!G207</f>
        <v>0</v>
      </c>
      <c r="H207" s="10">
        <f>0+[1]táj.2!H207</f>
        <v>0</v>
      </c>
      <c r="I207" s="10">
        <f>0+[1]táj.2!I207</f>
        <v>0</v>
      </c>
      <c r="J207" s="10">
        <f>0+[1]táj.2!J207</f>
        <v>0</v>
      </c>
      <c r="K207" s="10">
        <f>0+[1]táj.2!K207</f>
        <v>0</v>
      </c>
      <c r="L207" s="10">
        <f>0+[1]táj.2!L207</f>
        <v>0</v>
      </c>
      <c r="M207" s="10">
        <f>1799+[1]táj.2!M207</f>
        <v>1799</v>
      </c>
      <c r="N207" s="10">
        <f>0+[1]táj.2!N207</f>
        <v>0</v>
      </c>
      <c r="O207" s="10">
        <f>0+[1]táj.2!O207</f>
        <v>0</v>
      </c>
      <c r="P207" s="10">
        <f>0+[1]táj.2!P207</f>
        <v>0</v>
      </c>
      <c r="Q207" s="228">
        <f t="shared" si="12"/>
        <v>1799</v>
      </c>
    </row>
    <row r="208" spans="1:17" ht="13.5" x14ac:dyDescent="0.2">
      <c r="A208" s="135"/>
      <c r="B208" s="135"/>
      <c r="C208" s="135" t="s">
        <v>213</v>
      </c>
      <c r="D208" s="506" t="s">
        <v>93</v>
      </c>
      <c r="E208" s="187"/>
      <c r="F208" s="7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228">
        <f t="shared" si="12"/>
        <v>0</v>
      </c>
    </row>
    <row r="209" spans="1:17" ht="25.5" x14ac:dyDescent="0.2">
      <c r="A209" s="135"/>
      <c r="B209" s="135"/>
      <c r="C209" s="162" t="s">
        <v>907</v>
      </c>
      <c r="D209" s="310" t="s">
        <v>94</v>
      </c>
      <c r="E209" s="187"/>
      <c r="F209" s="7">
        <v>132924</v>
      </c>
      <c r="G209" s="10">
        <f>0+[1]táj.2!G209</f>
        <v>0</v>
      </c>
      <c r="H209" s="10">
        <f>0+[1]táj.2!H209</f>
        <v>0</v>
      </c>
      <c r="I209" s="10">
        <f>0+[1]táj.2!I209</f>
        <v>0</v>
      </c>
      <c r="J209" s="10">
        <f>0+[1]táj.2!J209</f>
        <v>0</v>
      </c>
      <c r="K209" s="10">
        <f>0+[1]táj.2!K209</f>
        <v>0</v>
      </c>
      <c r="L209" s="10">
        <f>0+[1]táj.2!L209</f>
        <v>0</v>
      </c>
      <c r="M209" s="10">
        <f>0+[1]táj.2!M209</f>
        <v>0</v>
      </c>
      <c r="N209" s="10">
        <f>1500+[1]táj.2!N209</f>
        <v>1500</v>
      </c>
      <c r="O209" s="10">
        <f>0+[1]táj.2!O209</f>
        <v>0</v>
      </c>
      <c r="P209" s="10">
        <f>0+[1]táj.2!P209</f>
        <v>0</v>
      </c>
      <c r="Q209" s="228">
        <f t="shared" si="12"/>
        <v>1500</v>
      </c>
    </row>
    <row r="210" spans="1:17" ht="15" customHeight="1" x14ac:dyDescent="0.2">
      <c r="A210" s="135"/>
      <c r="B210" s="135"/>
      <c r="C210" s="220" t="s">
        <v>200</v>
      </c>
      <c r="D210" s="241" t="s">
        <v>584</v>
      </c>
      <c r="E210" s="9"/>
      <c r="F210" s="8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228"/>
    </row>
    <row r="211" spans="1:17" ht="16.5" customHeight="1" x14ac:dyDescent="0.2">
      <c r="A211" s="135"/>
      <c r="B211" s="135"/>
      <c r="C211" s="178" t="s">
        <v>732</v>
      </c>
      <c r="D211" s="242" t="s">
        <v>733</v>
      </c>
      <c r="E211" s="187"/>
      <c r="F211" s="7">
        <v>132990</v>
      </c>
      <c r="G211" s="10">
        <f>0+[1]táj.2!G211</f>
        <v>0</v>
      </c>
      <c r="H211" s="10">
        <f>0+[1]táj.2!H211</f>
        <v>0</v>
      </c>
      <c r="I211" s="10">
        <f>0+[1]táj.2!I211</f>
        <v>0</v>
      </c>
      <c r="J211" s="10">
        <f>0+[1]táj.2!J211</f>
        <v>0</v>
      </c>
      <c r="K211" s="10">
        <f>0+[1]táj.2!K211</f>
        <v>0</v>
      </c>
      <c r="L211" s="10">
        <f>1000+[1]táj.2!L211</f>
        <v>0</v>
      </c>
      <c r="M211" s="10">
        <f>0+[1]táj.2!M211</f>
        <v>0</v>
      </c>
      <c r="N211" s="10">
        <f>0+[1]táj.2!N211</f>
        <v>0</v>
      </c>
      <c r="O211" s="10">
        <f>0+[1]táj.2!O211</f>
        <v>0</v>
      </c>
      <c r="P211" s="10">
        <f>0+[1]táj.2!P211</f>
        <v>0</v>
      </c>
      <c r="Q211" s="228">
        <f t="shared" ref="Q211:Q219" si="13">SUM(G211:P211)</f>
        <v>0</v>
      </c>
    </row>
    <row r="212" spans="1:17" ht="15.75" customHeight="1" x14ac:dyDescent="0.2">
      <c r="A212" s="135"/>
      <c r="B212" s="135"/>
      <c r="C212" s="178" t="s">
        <v>734</v>
      </c>
      <c r="D212" s="200" t="s">
        <v>735</v>
      </c>
      <c r="E212" s="244"/>
      <c r="F212" s="7">
        <v>132927</v>
      </c>
      <c r="G212" s="10">
        <f>0+[1]táj.2!G212</f>
        <v>0</v>
      </c>
      <c r="H212" s="10">
        <f>0+[1]táj.2!H212</f>
        <v>0</v>
      </c>
      <c r="I212" s="10">
        <f>0+[1]táj.2!I212</f>
        <v>0</v>
      </c>
      <c r="J212" s="10">
        <f>0+[1]táj.2!J212</f>
        <v>0</v>
      </c>
      <c r="K212" s="10">
        <f>0+[1]táj.2!K212</f>
        <v>0</v>
      </c>
      <c r="L212" s="10">
        <f>0+[1]táj.2!L212</f>
        <v>0</v>
      </c>
      <c r="M212" s="10">
        <f>371+[1]táj.2!M212</f>
        <v>371</v>
      </c>
      <c r="N212" s="10">
        <f>0+[1]táj.2!N212</f>
        <v>0</v>
      </c>
      <c r="O212" s="10">
        <f>0+[1]táj.2!O212</f>
        <v>0</v>
      </c>
      <c r="P212" s="10">
        <f>0+[1]táj.2!P212</f>
        <v>0</v>
      </c>
      <c r="Q212" s="228">
        <f t="shared" si="13"/>
        <v>371</v>
      </c>
    </row>
    <row r="213" spans="1:17" ht="27.75" customHeight="1" x14ac:dyDescent="0.2">
      <c r="A213" s="135"/>
      <c r="B213" s="135"/>
      <c r="C213" s="178" t="s">
        <v>736</v>
      </c>
      <c r="D213" s="601" t="s">
        <v>737</v>
      </c>
      <c r="E213" s="245"/>
      <c r="F213" s="7">
        <v>132915</v>
      </c>
      <c r="G213" s="10">
        <f>0+[1]táj.2!G213</f>
        <v>0</v>
      </c>
      <c r="H213" s="10">
        <f>0+[1]táj.2!H213</f>
        <v>0</v>
      </c>
      <c r="I213" s="10">
        <f>0+[1]táj.2!I213</f>
        <v>0</v>
      </c>
      <c r="J213" s="10">
        <f>0+[1]táj.2!J213</f>
        <v>0</v>
      </c>
      <c r="K213" s="10">
        <f>0+[1]táj.2!K213</f>
        <v>0</v>
      </c>
      <c r="L213" s="10">
        <f>0+[1]táj.2!L213</f>
        <v>0</v>
      </c>
      <c r="M213" s="10">
        <f>0+[1]táj.2!M213</f>
        <v>0</v>
      </c>
      <c r="N213" s="10">
        <f>5500+[1]táj.2!N213</f>
        <v>0</v>
      </c>
      <c r="O213" s="10">
        <f>0+[1]táj.2!O213</f>
        <v>0</v>
      </c>
      <c r="P213" s="10">
        <f>0+[1]táj.2!P213</f>
        <v>0</v>
      </c>
      <c r="Q213" s="228">
        <f t="shared" si="13"/>
        <v>0</v>
      </c>
    </row>
    <row r="214" spans="1:17" ht="26.25" customHeight="1" x14ac:dyDescent="0.2">
      <c r="A214" s="135"/>
      <c r="B214" s="135"/>
      <c r="C214" s="178" t="s">
        <v>738</v>
      </c>
      <c r="D214" s="200" t="s">
        <v>739</v>
      </c>
      <c r="E214" s="9"/>
      <c r="F214" s="7">
        <v>134910</v>
      </c>
      <c r="G214" s="10">
        <f>0+[1]táj.2!G214</f>
        <v>0</v>
      </c>
      <c r="H214" s="10">
        <f>0+[1]táj.2!H214</f>
        <v>0</v>
      </c>
      <c r="I214" s="10">
        <f>0+[1]táj.2!I214</f>
        <v>0</v>
      </c>
      <c r="J214" s="10">
        <f>0+[1]táj.2!J214</f>
        <v>0</v>
      </c>
      <c r="K214" s="10">
        <f>0+[1]táj.2!K214</f>
        <v>0</v>
      </c>
      <c r="L214" s="10">
        <f>0+[1]táj.2!L214</f>
        <v>0</v>
      </c>
      <c r="M214" s="10">
        <f>3620+[1]táj.2!M214</f>
        <v>3620</v>
      </c>
      <c r="N214" s="10">
        <f>0+[1]táj.2!N214</f>
        <v>0</v>
      </c>
      <c r="O214" s="10">
        <f>0+[1]táj.2!O214</f>
        <v>0</v>
      </c>
      <c r="P214" s="10">
        <f>0+[1]táj.2!P214</f>
        <v>0</v>
      </c>
      <c r="Q214" s="228">
        <f t="shared" si="13"/>
        <v>3620</v>
      </c>
    </row>
    <row r="215" spans="1:17" ht="14.25" customHeight="1" x14ac:dyDescent="0.2">
      <c r="A215" s="135"/>
      <c r="B215" s="135"/>
      <c r="C215" s="178" t="s">
        <v>740</v>
      </c>
      <c r="D215" s="200" t="s">
        <v>741</v>
      </c>
      <c r="E215" s="245"/>
      <c r="F215" s="7">
        <v>134923</v>
      </c>
      <c r="G215" s="10">
        <f>0+[1]táj.2!G215</f>
        <v>0</v>
      </c>
      <c r="H215" s="10">
        <f>0+[1]táj.2!H215</f>
        <v>0</v>
      </c>
      <c r="I215" s="10">
        <f>0+[1]táj.2!I215</f>
        <v>0</v>
      </c>
      <c r="J215" s="10">
        <f>0+[1]táj.2!J215</f>
        <v>0</v>
      </c>
      <c r="K215" s="10">
        <f>0+[1]táj.2!K215</f>
        <v>0</v>
      </c>
      <c r="L215" s="10">
        <f>0+[1]táj.2!L215</f>
        <v>0</v>
      </c>
      <c r="M215" s="10">
        <f>2146+[1]táj.2!M215</f>
        <v>2146</v>
      </c>
      <c r="N215" s="10">
        <f>0+[1]táj.2!N215</f>
        <v>0</v>
      </c>
      <c r="O215" s="10">
        <f>0+[1]táj.2!O215</f>
        <v>0</v>
      </c>
      <c r="P215" s="10">
        <f>0+[1]táj.2!P215</f>
        <v>0</v>
      </c>
      <c r="Q215" s="228">
        <f t="shared" si="13"/>
        <v>2146</v>
      </c>
    </row>
    <row r="216" spans="1:17" ht="25.5" customHeight="1" x14ac:dyDescent="0.2">
      <c r="A216" s="135"/>
      <c r="B216" s="135"/>
      <c r="C216" s="178" t="s">
        <v>742</v>
      </c>
      <c r="D216" s="200" t="s">
        <v>743</v>
      </c>
      <c r="E216" s="244"/>
      <c r="F216" s="7">
        <v>134927</v>
      </c>
      <c r="G216" s="10">
        <f>0+[1]táj.2!G216</f>
        <v>0</v>
      </c>
      <c r="H216" s="10">
        <f>0+[1]táj.2!H216</f>
        <v>0</v>
      </c>
      <c r="I216" s="10">
        <f>0+[1]táj.2!I216</f>
        <v>0</v>
      </c>
      <c r="J216" s="10">
        <f>0+[1]táj.2!J216</f>
        <v>0</v>
      </c>
      <c r="K216" s="10">
        <f>0+[1]táj.2!K216</f>
        <v>0</v>
      </c>
      <c r="L216" s="10">
        <f>0+[1]táj.2!L216</f>
        <v>0</v>
      </c>
      <c r="M216" s="10">
        <f>11160+[1]táj.2!M216</f>
        <v>11160</v>
      </c>
      <c r="N216" s="10">
        <f>0+[1]táj.2!N216</f>
        <v>0</v>
      </c>
      <c r="O216" s="10">
        <f>0+[1]táj.2!O216</f>
        <v>0</v>
      </c>
      <c r="P216" s="10">
        <f>0+[1]táj.2!P216</f>
        <v>0</v>
      </c>
      <c r="Q216" s="228">
        <f t="shared" si="13"/>
        <v>11160</v>
      </c>
    </row>
    <row r="217" spans="1:17" ht="18.75" customHeight="1" x14ac:dyDescent="0.2">
      <c r="A217" s="135"/>
      <c r="B217" s="135"/>
      <c r="C217" s="178" t="s">
        <v>744</v>
      </c>
      <c r="D217" s="246" t="s">
        <v>1502</v>
      </c>
      <c r="E217" s="694"/>
      <c r="F217" s="7">
        <v>134996</v>
      </c>
      <c r="G217" s="10">
        <f>0+[1]táj.2!G217</f>
        <v>0</v>
      </c>
      <c r="H217" s="10">
        <f>0+[1]táj.2!H217</f>
        <v>0</v>
      </c>
      <c r="I217" s="10">
        <f>0+[1]táj.2!I217</f>
        <v>0</v>
      </c>
      <c r="J217" s="10">
        <f>0+[1]táj.2!J217</f>
        <v>0</v>
      </c>
      <c r="K217" s="10">
        <f>0+[1]táj.2!K217</f>
        <v>0</v>
      </c>
      <c r="L217" s="10">
        <f>0+[1]táj.2!L217</f>
        <v>0</v>
      </c>
      <c r="M217" s="10">
        <f>200+[1]táj.2!M217</f>
        <v>200</v>
      </c>
      <c r="N217" s="10">
        <f>0+[1]táj.2!N217</f>
        <v>0</v>
      </c>
      <c r="O217" s="10">
        <f>0+[1]táj.2!O217</f>
        <v>0</v>
      </c>
      <c r="P217" s="10">
        <f>0+[1]táj.2!P217</f>
        <v>0</v>
      </c>
      <c r="Q217" s="228">
        <f t="shared" si="13"/>
        <v>200</v>
      </c>
    </row>
    <row r="218" spans="1:17" ht="18" customHeight="1" x14ac:dyDescent="0.2">
      <c r="A218" s="135"/>
      <c r="B218" s="135"/>
      <c r="C218" s="178" t="s">
        <v>745</v>
      </c>
      <c r="D218" s="200" t="s">
        <v>746</v>
      </c>
      <c r="E218" s="245"/>
      <c r="F218" s="7">
        <v>132999</v>
      </c>
      <c r="G218" s="10">
        <f>0+[1]táj.2!G218</f>
        <v>0</v>
      </c>
      <c r="H218" s="10">
        <f>0+[1]táj.2!H218</f>
        <v>0</v>
      </c>
      <c r="I218" s="10">
        <f>0+[1]táj.2!I218</f>
        <v>0</v>
      </c>
      <c r="J218" s="10">
        <f>0+[1]táj.2!J218</f>
        <v>0</v>
      </c>
      <c r="K218" s="10">
        <f>0+[1]táj.2!K218</f>
        <v>0</v>
      </c>
      <c r="L218" s="10">
        <f>100+[1]táj.2!L218</f>
        <v>100</v>
      </c>
      <c r="M218" s="10">
        <f>0+[1]táj.2!M218</f>
        <v>0</v>
      </c>
      <c r="N218" s="10">
        <f>0+[1]táj.2!N218</f>
        <v>0</v>
      </c>
      <c r="O218" s="10">
        <f>0+[1]táj.2!O218</f>
        <v>0</v>
      </c>
      <c r="P218" s="10">
        <f>0+[1]táj.2!P218</f>
        <v>0</v>
      </c>
      <c r="Q218" s="228">
        <f t="shared" si="13"/>
        <v>100</v>
      </c>
    </row>
    <row r="219" spans="1:17" ht="18" customHeight="1" x14ac:dyDescent="0.2">
      <c r="A219" s="135"/>
      <c r="B219" s="135"/>
      <c r="C219" s="178" t="s">
        <v>747</v>
      </c>
      <c r="D219" s="200" t="s">
        <v>748</v>
      </c>
      <c r="E219" s="245"/>
      <c r="F219" s="7">
        <v>132926</v>
      </c>
      <c r="G219" s="10">
        <f>0+[1]táj.2!G219</f>
        <v>0</v>
      </c>
      <c r="H219" s="10">
        <f>0+[1]táj.2!H219</f>
        <v>0</v>
      </c>
      <c r="I219" s="10">
        <f>0+[1]táj.2!I219</f>
        <v>0</v>
      </c>
      <c r="J219" s="10">
        <f>0+[1]táj.2!J219</f>
        <v>0</v>
      </c>
      <c r="K219" s="10">
        <f>0+[1]táj.2!K219</f>
        <v>0</v>
      </c>
      <c r="L219" s="10">
        <f>1000+[1]táj.2!L219</f>
        <v>0</v>
      </c>
      <c r="M219" s="10">
        <f>0+[1]táj.2!M219</f>
        <v>0</v>
      </c>
      <c r="N219" s="10">
        <f>0+[1]táj.2!N219</f>
        <v>0</v>
      </c>
      <c r="O219" s="10">
        <f>0+[1]táj.2!O219</f>
        <v>0</v>
      </c>
      <c r="P219" s="10">
        <f>0+[1]táj.2!P219</f>
        <v>0</v>
      </c>
      <c r="Q219" s="228">
        <f t="shared" si="13"/>
        <v>0</v>
      </c>
    </row>
    <row r="220" spans="1:17" ht="18.75" customHeight="1" x14ac:dyDescent="0.2">
      <c r="A220" s="182"/>
      <c r="B220" s="182"/>
      <c r="C220" s="183"/>
      <c r="D220" s="147" t="s">
        <v>423</v>
      </c>
      <c r="E220" s="185"/>
      <c r="F220" s="52"/>
      <c r="G220" s="219">
        <f>SUM(G171:G219)</f>
        <v>3891</v>
      </c>
      <c r="H220" s="219">
        <f t="shared" ref="H220:Q220" si="14">SUM(H171:H219)</f>
        <v>1415</v>
      </c>
      <c r="I220" s="219">
        <f t="shared" si="14"/>
        <v>111092</v>
      </c>
      <c r="J220" s="219">
        <f t="shared" si="14"/>
        <v>5100</v>
      </c>
      <c r="K220" s="219">
        <f t="shared" si="14"/>
        <v>930103</v>
      </c>
      <c r="L220" s="219">
        <f t="shared" si="14"/>
        <v>6251</v>
      </c>
      <c r="M220" s="219">
        <f t="shared" si="14"/>
        <v>26835</v>
      </c>
      <c r="N220" s="219">
        <f t="shared" si="14"/>
        <v>12120</v>
      </c>
      <c r="O220" s="219">
        <f t="shared" si="14"/>
        <v>0</v>
      </c>
      <c r="P220" s="219">
        <f t="shared" si="14"/>
        <v>0</v>
      </c>
      <c r="Q220" s="219">
        <f t="shared" si="14"/>
        <v>1096807</v>
      </c>
    </row>
    <row r="221" spans="1:17" ht="12.95" customHeight="1" x14ac:dyDescent="0.2">
      <c r="A221" s="135">
        <v>1</v>
      </c>
      <c r="B221" s="135">
        <v>14</v>
      </c>
      <c r="C221" s="220"/>
      <c r="D221" s="241" t="s">
        <v>315</v>
      </c>
      <c r="E221" s="9"/>
      <c r="F221" s="8"/>
      <c r="G221" s="8"/>
      <c r="H221" s="3"/>
      <c r="I221" s="3"/>
      <c r="J221" s="3"/>
      <c r="K221" s="3"/>
      <c r="L221" s="3"/>
      <c r="M221" s="8"/>
      <c r="N221" s="8"/>
      <c r="O221" s="8"/>
      <c r="P221" s="8"/>
      <c r="Q221" s="8"/>
    </row>
    <row r="222" spans="1:17" ht="12.95" customHeight="1" x14ac:dyDescent="0.2">
      <c r="A222" s="135"/>
      <c r="B222" s="135"/>
      <c r="C222" s="220"/>
      <c r="D222" s="143" t="s">
        <v>424</v>
      </c>
      <c r="E222" s="9"/>
      <c r="F222" s="8"/>
      <c r="G222" s="8"/>
      <c r="H222" s="3"/>
      <c r="I222" s="3"/>
      <c r="J222" s="3"/>
      <c r="K222" s="3"/>
      <c r="L222" s="3"/>
      <c r="M222" s="8"/>
      <c r="N222" s="8"/>
      <c r="O222" s="8"/>
      <c r="P222" s="8"/>
      <c r="Q222" s="8"/>
    </row>
    <row r="223" spans="1:17" ht="12.95" customHeight="1" x14ac:dyDescent="0.2">
      <c r="A223" s="135"/>
      <c r="B223" s="135"/>
      <c r="C223" s="220"/>
      <c r="D223" s="247" t="s">
        <v>749</v>
      </c>
      <c r="E223" s="7">
        <v>1</v>
      </c>
      <c r="F223" s="7">
        <v>171918</v>
      </c>
      <c r="G223" s="7">
        <f>0+[1]táj.2!G223</f>
        <v>0</v>
      </c>
      <c r="H223" s="7">
        <f>0+[1]táj.2!H223</f>
        <v>0</v>
      </c>
      <c r="I223" s="7">
        <f>1104+[1]táj.2!I223</f>
        <v>1104</v>
      </c>
      <c r="J223" s="7">
        <f>0+[1]táj.2!J223</f>
        <v>0</v>
      </c>
      <c r="K223" s="7">
        <f>0+[1]táj.2!K223</f>
        <v>0</v>
      </c>
      <c r="L223" s="7">
        <f>0+[1]táj.2!L223</f>
        <v>0</v>
      </c>
      <c r="M223" s="7">
        <f>0+[1]táj.2!M223</f>
        <v>0</v>
      </c>
      <c r="N223" s="7">
        <f>0+[1]táj.2!N223</f>
        <v>0</v>
      </c>
      <c r="O223" s="7">
        <f>0+[1]táj.2!O223</f>
        <v>0</v>
      </c>
      <c r="P223" s="7">
        <f>0+[1]táj.2!P223</f>
        <v>0</v>
      </c>
      <c r="Q223" s="7">
        <f>SUM(G223:P223)</f>
        <v>1104</v>
      </c>
    </row>
    <row r="224" spans="1:17" ht="30" customHeight="1" x14ac:dyDescent="0.2">
      <c r="A224" s="135"/>
      <c r="B224" s="135"/>
      <c r="C224" s="220"/>
      <c r="D224" s="141" t="s">
        <v>750</v>
      </c>
      <c r="E224" s="7">
        <v>1</v>
      </c>
      <c r="F224" s="7">
        <v>171922</v>
      </c>
      <c r="G224" s="7">
        <f>0+[1]táj.2!G224</f>
        <v>0</v>
      </c>
      <c r="H224" s="7">
        <f>0+[1]táj.2!H224</f>
        <v>0</v>
      </c>
      <c r="I224" s="7">
        <f>2422+[1]táj.2!I224</f>
        <v>2422</v>
      </c>
      <c r="J224" s="7">
        <f>0+[1]táj.2!J224</f>
        <v>0</v>
      </c>
      <c r="K224" s="7">
        <f>0+[1]táj.2!K224</f>
        <v>0</v>
      </c>
      <c r="L224" s="7">
        <f>0+[1]táj.2!L224</f>
        <v>0</v>
      </c>
      <c r="M224" s="7">
        <f>0+[1]táj.2!M224</f>
        <v>0</v>
      </c>
      <c r="N224" s="7">
        <f>0+[1]táj.2!N224</f>
        <v>0</v>
      </c>
      <c r="O224" s="7">
        <f>0+[1]táj.2!O224</f>
        <v>0</v>
      </c>
      <c r="P224" s="7">
        <f>0+[1]táj.2!P224</f>
        <v>0</v>
      </c>
      <c r="Q224" s="7">
        <f>SUM(G224:P224)</f>
        <v>2422</v>
      </c>
    </row>
    <row r="225" spans="1:17" ht="12.95" customHeight="1" x14ac:dyDescent="0.2">
      <c r="A225" s="135"/>
      <c r="B225" s="135"/>
      <c r="C225" s="220"/>
      <c r="D225" s="247" t="s">
        <v>751</v>
      </c>
      <c r="E225" s="7">
        <v>1</v>
      </c>
      <c r="F225" s="7">
        <v>171926</v>
      </c>
      <c r="G225" s="7">
        <f>0+[1]táj.2!G225</f>
        <v>0</v>
      </c>
      <c r="H225" s="7">
        <f>0+[1]táj.2!H225</f>
        <v>0</v>
      </c>
      <c r="I225" s="7">
        <f>1500+[1]táj.2!I225</f>
        <v>1500</v>
      </c>
      <c r="J225" s="7">
        <f>0+[1]táj.2!J225</f>
        <v>0</v>
      </c>
      <c r="K225" s="7">
        <f>0+[1]táj.2!K225</f>
        <v>0</v>
      </c>
      <c r="L225" s="7">
        <f>0+[1]táj.2!L225</f>
        <v>0</v>
      </c>
      <c r="M225" s="7">
        <f>0+[1]táj.2!M225</f>
        <v>0</v>
      </c>
      <c r="N225" s="7">
        <f>0+[1]táj.2!N225</f>
        <v>0</v>
      </c>
      <c r="O225" s="7">
        <f>0+[1]táj.2!O225</f>
        <v>0</v>
      </c>
      <c r="P225" s="7">
        <f>0+[1]táj.2!P225</f>
        <v>0</v>
      </c>
      <c r="Q225" s="7">
        <f>SUM(G225:P225)</f>
        <v>1500</v>
      </c>
    </row>
    <row r="226" spans="1:17" ht="12.95" customHeight="1" x14ac:dyDescent="0.2">
      <c r="A226" s="135"/>
      <c r="B226" s="135"/>
      <c r="C226" s="220"/>
      <c r="D226" s="247" t="s">
        <v>752</v>
      </c>
      <c r="E226" s="7">
        <v>1</v>
      </c>
      <c r="F226" s="7">
        <v>171967</v>
      </c>
      <c r="G226" s="7">
        <f>0+[1]táj.2!G226</f>
        <v>0</v>
      </c>
      <c r="H226" s="7">
        <f>0+[1]táj.2!H226</f>
        <v>0</v>
      </c>
      <c r="I226" s="7">
        <f>4000+[1]táj.2!I226</f>
        <v>4000</v>
      </c>
      <c r="J226" s="7">
        <f>0+[1]táj.2!J226</f>
        <v>0</v>
      </c>
      <c r="K226" s="7">
        <f>0+[1]táj.2!K226</f>
        <v>0</v>
      </c>
      <c r="L226" s="7">
        <f>0+[1]táj.2!L226</f>
        <v>0</v>
      </c>
      <c r="M226" s="7">
        <f>0+[1]táj.2!M226</f>
        <v>0</v>
      </c>
      <c r="N226" s="7">
        <f>0+[1]táj.2!N226</f>
        <v>0</v>
      </c>
      <c r="O226" s="7">
        <f>0+[1]táj.2!O226</f>
        <v>0</v>
      </c>
      <c r="P226" s="7">
        <f>0+[1]táj.2!P226</f>
        <v>0</v>
      </c>
      <c r="Q226" s="7">
        <f>SUM(G226:P226)</f>
        <v>4000</v>
      </c>
    </row>
    <row r="227" spans="1:17" ht="12.95" customHeight="1" x14ac:dyDescent="0.2">
      <c r="A227" s="182"/>
      <c r="B227" s="182"/>
      <c r="C227" s="183"/>
      <c r="D227" s="147" t="s">
        <v>753</v>
      </c>
      <c r="E227" s="248"/>
      <c r="F227" s="249"/>
      <c r="G227" s="250">
        <f>SUM(G223:G226)</f>
        <v>0</v>
      </c>
      <c r="H227" s="250">
        <f t="shared" ref="H227:Q227" si="15">SUM(H223:H226)</f>
        <v>0</v>
      </c>
      <c r="I227" s="250">
        <f t="shared" si="15"/>
        <v>9026</v>
      </c>
      <c r="J227" s="250">
        <f t="shared" si="15"/>
        <v>0</v>
      </c>
      <c r="K227" s="250">
        <f t="shared" si="15"/>
        <v>0</v>
      </c>
      <c r="L227" s="250">
        <f t="shared" si="15"/>
        <v>0</v>
      </c>
      <c r="M227" s="250">
        <f t="shared" si="15"/>
        <v>0</v>
      </c>
      <c r="N227" s="250">
        <f t="shared" si="15"/>
        <v>0</v>
      </c>
      <c r="O227" s="250">
        <f t="shared" si="15"/>
        <v>0</v>
      </c>
      <c r="P227" s="250">
        <f t="shared" si="15"/>
        <v>0</v>
      </c>
      <c r="Q227" s="250">
        <f t="shared" si="15"/>
        <v>9026</v>
      </c>
    </row>
    <row r="228" spans="1:17" ht="12.95" customHeight="1" x14ac:dyDescent="0.2">
      <c r="A228" s="135"/>
      <c r="B228" s="135"/>
      <c r="C228" s="220"/>
      <c r="D228" s="251" t="s">
        <v>754</v>
      </c>
      <c r="E228" s="187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2.95" customHeight="1" x14ac:dyDescent="0.2">
      <c r="A229" s="135"/>
      <c r="B229" s="135"/>
      <c r="C229" s="252"/>
      <c r="D229" s="247" t="s">
        <v>584</v>
      </c>
      <c r="E229" s="253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2.95" customHeight="1" x14ac:dyDescent="0.2">
      <c r="A230" s="135"/>
      <c r="B230" s="135"/>
      <c r="C230" s="254" t="s">
        <v>585</v>
      </c>
      <c r="D230" s="255" t="s">
        <v>755</v>
      </c>
      <c r="E230" s="253"/>
      <c r="F230" s="7">
        <v>162650</v>
      </c>
      <c r="G230" s="3">
        <f>0+[1]táj.2!G230</f>
        <v>0</v>
      </c>
      <c r="H230" s="3">
        <f>0+[1]táj.2!H230</f>
        <v>0</v>
      </c>
      <c r="I230" s="3">
        <f>0+[1]táj.2!I230</f>
        <v>0</v>
      </c>
      <c r="J230" s="3">
        <f>0+[1]táj.2!J230</f>
        <v>0</v>
      </c>
      <c r="K230" s="3">
        <f>0+[1]táj.2!K230</f>
        <v>0</v>
      </c>
      <c r="L230" s="3">
        <f>17517+[1]táj.2!L230</f>
        <v>17517</v>
      </c>
      <c r="M230" s="3">
        <f>0+[1]táj.2!M230</f>
        <v>0</v>
      </c>
      <c r="N230" s="3">
        <f>0+[1]táj.2!N230</f>
        <v>0</v>
      </c>
      <c r="O230" s="3">
        <f>0+[1]táj.2!O230</f>
        <v>0</v>
      </c>
      <c r="P230" s="3">
        <f>0+[1]táj.2!P230</f>
        <v>0</v>
      </c>
      <c r="Q230" s="3">
        <f>SUM(G230:P230)</f>
        <v>17517</v>
      </c>
    </row>
    <row r="231" spans="1:17" ht="12.95" customHeight="1" x14ac:dyDescent="0.2">
      <c r="A231" s="135"/>
      <c r="B231" s="135"/>
      <c r="C231" s="254" t="s">
        <v>587</v>
      </c>
      <c r="D231" s="256" t="s">
        <v>756</v>
      </c>
      <c r="E231" s="253"/>
      <c r="F231" s="7">
        <v>164903</v>
      </c>
      <c r="G231" s="3">
        <f>0+[1]táj.2!G231</f>
        <v>0</v>
      </c>
      <c r="H231" s="3">
        <f>0+[1]táj.2!H231</f>
        <v>0</v>
      </c>
      <c r="I231" s="3">
        <f>0+[1]táj.2!I231</f>
        <v>0</v>
      </c>
      <c r="J231" s="3">
        <f>0+[1]táj.2!J231</f>
        <v>0</v>
      </c>
      <c r="K231" s="3">
        <f>0+[1]táj.2!K231</f>
        <v>0</v>
      </c>
      <c r="L231" s="3">
        <f>0+[1]táj.2!L231</f>
        <v>0</v>
      </c>
      <c r="M231" s="3">
        <f>0+[1]táj.2!M231</f>
        <v>0</v>
      </c>
      <c r="N231" s="3">
        <f>6846+[1]táj.2!N231</f>
        <v>6901</v>
      </c>
      <c r="O231" s="3">
        <f>0+[1]táj.2!O231</f>
        <v>0</v>
      </c>
      <c r="P231" s="3">
        <f>0+[1]táj.2!P231</f>
        <v>0</v>
      </c>
      <c r="Q231" s="3">
        <f>SUM(G231:P231)</f>
        <v>6901</v>
      </c>
    </row>
    <row r="232" spans="1:17" ht="12.95" customHeight="1" x14ac:dyDescent="0.2">
      <c r="A232" s="182"/>
      <c r="B232" s="182"/>
      <c r="C232" s="183"/>
      <c r="D232" s="147" t="s">
        <v>426</v>
      </c>
      <c r="E232" s="248"/>
      <c r="F232" s="249"/>
      <c r="G232" s="250">
        <f>SUM(G227:G231)</f>
        <v>0</v>
      </c>
      <c r="H232" s="250">
        <f t="shared" ref="H232:Q232" si="16">SUM(H227:H231)</f>
        <v>0</v>
      </c>
      <c r="I232" s="250">
        <f t="shared" si="16"/>
        <v>9026</v>
      </c>
      <c r="J232" s="250">
        <f t="shared" si="16"/>
        <v>0</v>
      </c>
      <c r="K232" s="250">
        <f t="shared" si="16"/>
        <v>0</v>
      </c>
      <c r="L232" s="250">
        <f t="shared" si="16"/>
        <v>17517</v>
      </c>
      <c r="M232" s="250">
        <f t="shared" si="16"/>
        <v>0</v>
      </c>
      <c r="N232" s="250">
        <f t="shared" si="16"/>
        <v>6901</v>
      </c>
      <c r="O232" s="250">
        <f t="shared" si="16"/>
        <v>0</v>
      </c>
      <c r="P232" s="250">
        <f t="shared" si="16"/>
        <v>0</v>
      </c>
      <c r="Q232" s="250">
        <f t="shared" si="16"/>
        <v>33444</v>
      </c>
    </row>
    <row r="233" spans="1:17" ht="14.1" customHeight="1" x14ac:dyDescent="0.2">
      <c r="A233" s="162">
        <v>1</v>
      </c>
      <c r="B233" s="162">
        <v>15</v>
      </c>
      <c r="C233" s="178"/>
      <c r="D233" s="241" t="s">
        <v>758</v>
      </c>
      <c r="E233" s="187"/>
      <c r="F233" s="7"/>
      <c r="G233" s="7"/>
      <c r="H233" s="3"/>
      <c r="I233" s="3"/>
      <c r="J233" s="3"/>
      <c r="K233" s="3"/>
      <c r="L233" s="3"/>
      <c r="M233" s="7"/>
      <c r="N233" s="7"/>
      <c r="O233" s="7"/>
      <c r="P233" s="7"/>
      <c r="Q233" s="7"/>
    </row>
    <row r="234" spans="1:17" ht="14.1" customHeight="1" x14ac:dyDescent="0.2">
      <c r="A234" s="162"/>
      <c r="B234" s="162"/>
      <c r="C234" s="178"/>
      <c r="D234" s="257" t="s">
        <v>759</v>
      </c>
      <c r="E234" s="187"/>
      <c r="F234" s="7"/>
      <c r="G234" s="7"/>
      <c r="H234" s="3"/>
      <c r="I234" s="3"/>
      <c r="J234" s="3"/>
      <c r="K234" s="3"/>
      <c r="L234" s="3"/>
      <c r="M234" s="7"/>
      <c r="N234" s="7"/>
      <c r="O234" s="7"/>
      <c r="P234" s="7"/>
      <c r="Q234" s="7"/>
    </row>
    <row r="235" spans="1:17" ht="18" customHeight="1" x14ac:dyDescent="0.2">
      <c r="A235" s="162"/>
      <c r="B235" s="162"/>
      <c r="C235" s="178"/>
      <c r="D235" s="247" t="s">
        <v>760</v>
      </c>
      <c r="E235" s="7">
        <v>1</v>
      </c>
      <c r="F235" s="7">
        <v>151502</v>
      </c>
      <c r="G235" s="7">
        <f>0+[1]táj.2!G235</f>
        <v>0</v>
      </c>
      <c r="H235" s="7">
        <f>0+[1]táj.2!H235</f>
        <v>0</v>
      </c>
      <c r="I235" s="7">
        <f>28416+[1]táj.2!I235</f>
        <v>27613</v>
      </c>
      <c r="J235" s="7">
        <f>0+[1]táj.2!J235</f>
        <v>0</v>
      </c>
      <c r="K235" s="7">
        <f>0+[1]táj.2!K235</f>
        <v>0</v>
      </c>
      <c r="L235" s="7">
        <f>0+[1]táj.2!L235</f>
        <v>920</v>
      </c>
      <c r="M235" s="7">
        <f>0+[1]táj.2!M235</f>
        <v>0</v>
      </c>
      <c r="N235" s="7">
        <f>0+[1]táj.2!N235</f>
        <v>0</v>
      </c>
      <c r="O235" s="7">
        <f>0+[1]táj.2!O235</f>
        <v>0</v>
      </c>
      <c r="P235" s="7">
        <f>0+[1]táj.2!P235</f>
        <v>0</v>
      </c>
      <c r="Q235" s="7">
        <f t="shared" ref="Q235:Q260" si="17">SUM(G235:P235)</f>
        <v>28533</v>
      </c>
    </row>
    <row r="236" spans="1:17" ht="12" customHeight="1" x14ac:dyDescent="0.2">
      <c r="A236" s="162"/>
      <c r="B236" s="162"/>
      <c r="C236" s="178"/>
      <c r="D236" s="141" t="s">
        <v>1428</v>
      </c>
      <c r="E236" s="7">
        <v>1</v>
      </c>
      <c r="F236" s="7">
        <v>151530</v>
      </c>
      <c r="G236" s="7">
        <f>0+[1]táj.2!G236</f>
        <v>0</v>
      </c>
      <c r="H236" s="7">
        <f>0+[1]táj.2!H236</f>
        <v>0</v>
      </c>
      <c r="I236" s="7">
        <f>5000+[1]táj.2!I236</f>
        <v>5000</v>
      </c>
      <c r="J236" s="7">
        <f>0+[1]táj.2!J236</f>
        <v>0</v>
      </c>
      <c r="K236" s="7">
        <f>0+[1]táj.2!K236</f>
        <v>0</v>
      </c>
      <c r="L236" s="7">
        <f>0+[1]táj.2!L236</f>
        <v>0</v>
      </c>
      <c r="M236" s="7">
        <f>0+[1]táj.2!M236</f>
        <v>0</v>
      </c>
      <c r="N236" s="7">
        <f>0+[1]táj.2!N236</f>
        <v>0</v>
      </c>
      <c r="O236" s="7">
        <f>0+[1]táj.2!O236</f>
        <v>0</v>
      </c>
      <c r="P236" s="7">
        <f>0+[1]táj.2!P236</f>
        <v>0</v>
      </c>
      <c r="Q236" s="7">
        <f t="shared" si="17"/>
        <v>5000</v>
      </c>
    </row>
    <row r="237" spans="1:17" ht="14.1" customHeight="1" x14ac:dyDescent="0.2">
      <c r="A237" s="162"/>
      <c r="B237" s="162"/>
      <c r="C237" s="178"/>
      <c r="D237" s="247" t="s">
        <v>761</v>
      </c>
      <c r="E237" s="7">
        <v>1</v>
      </c>
      <c r="F237" s="7">
        <v>151504</v>
      </c>
      <c r="G237" s="7">
        <f>0+[1]táj.2!G237</f>
        <v>0</v>
      </c>
      <c r="H237" s="7">
        <f>0+[1]táj.2!H237</f>
        <v>0</v>
      </c>
      <c r="I237" s="7">
        <f>226000+[1]táj.2!I237</f>
        <v>226000</v>
      </c>
      <c r="J237" s="7">
        <f>0+[1]táj.2!J237</f>
        <v>0</v>
      </c>
      <c r="K237" s="7">
        <f>0+[1]táj.2!K237</f>
        <v>0</v>
      </c>
      <c r="L237" s="7">
        <f>0+[1]táj.2!L237</f>
        <v>0</v>
      </c>
      <c r="M237" s="7">
        <f>0+[1]táj.2!M237</f>
        <v>0</v>
      </c>
      <c r="N237" s="7">
        <f>0+[1]táj.2!N237</f>
        <v>0</v>
      </c>
      <c r="O237" s="7">
        <f>0+[1]táj.2!O237</f>
        <v>0</v>
      </c>
      <c r="P237" s="7">
        <f>0+[1]táj.2!P237</f>
        <v>0</v>
      </c>
      <c r="Q237" s="7">
        <f t="shared" si="17"/>
        <v>226000</v>
      </c>
    </row>
    <row r="238" spans="1:17" ht="14.1" customHeight="1" x14ac:dyDescent="0.2">
      <c r="A238" s="162"/>
      <c r="B238" s="162"/>
      <c r="C238" s="178"/>
      <c r="D238" s="258" t="s">
        <v>762</v>
      </c>
      <c r="E238" s="7">
        <v>1</v>
      </c>
      <c r="F238" s="7">
        <v>151501</v>
      </c>
      <c r="G238" s="7">
        <f>0+[1]táj.2!G238</f>
        <v>0</v>
      </c>
      <c r="H238" s="7">
        <f>0+[1]táj.2!H238</f>
        <v>0</v>
      </c>
      <c r="I238" s="7">
        <f>10769+[1]táj.2!I238</f>
        <v>13625</v>
      </c>
      <c r="J238" s="7">
        <f>0+[1]táj.2!J238</f>
        <v>0</v>
      </c>
      <c r="K238" s="7">
        <f>0+[1]táj.2!K238</f>
        <v>0</v>
      </c>
      <c r="L238" s="7">
        <f>0+[1]táj.2!L238</f>
        <v>0</v>
      </c>
      <c r="M238" s="7">
        <f>0+[1]táj.2!M238</f>
        <v>0</v>
      </c>
      <c r="N238" s="7">
        <f>0+[1]táj.2!N238</f>
        <v>0</v>
      </c>
      <c r="O238" s="7">
        <f>0+[1]táj.2!O238</f>
        <v>0</v>
      </c>
      <c r="P238" s="7">
        <f>0+[1]táj.2!P238</f>
        <v>0</v>
      </c>
      <c r="Q238" s="7">
        <f t="shared" si="17"/>
        <v>13625</v>
      </c>
    </row>
    <row r="239" spans="1:17" ht="14.1" customHeight="1" x14ac:dyDescent="0.2">
      <c r="A239" s="162"/>
      <c r="B239" s="162"/>
      <c r="C239" s="178"/>
      <c r="D239" s="258" t="s">
        <v>763</v>
      </c>
      <c r="E239" s="7">
        <v>1</v>
      </c>
      <c r="F239" s="7">
        <v>151905</v>
      </c>
      <c r="G239" s="7">
        <f>0+[1]táj.2!G239</f>
        <v>0</v>
      </c>
      <c r="H239" s="7">
        <f>0+[1]táj.2!H239</f>
        <v>0</v>
      </c>
      <c r="I239" s="7">
        <f>800+[1]táj.2!I239</f>
        <v>800</v>
      </c>
      <c r="J239" s="7">
        <f>0+[1]táj.2!J239</f>
        <v>0</v>
      </c>
      <c r="K239" s="7">
        <f>0+[1]táj.2!K239</f>
        <v>0</v>
      </c>
      <c r="L239" s="7">
        <f>0+[1]táj.2!L239</f>
        <v>0</v>
      </c>
      <c r="M239" s="7">
        <f>0+[1]táj.2!M239</f>
        <v>0</v>
      </c>
      <c r="N239" s="7">
        <f>0+[1]táj.2!N239</f>
        <v>0</v>
      </c>
      <c r="O239" s="7">
        <f>0+[1]táj.2!O239</f>
        <v>0</v>
      </c>
      <c r="P239" s="7">
        <f>0+[1]táj.2!P239</f>
        <v>0</v>
      </c>
      <c r="Q239" s="7">
        <f t="shared" si="17"/>
        <v>800</v>
      </c>
    </row>
    <row r="240" spans="1:17" ht="14.1" customHeight="1" x14ac:dyDescent="0.2">
      <c r="A240" s="162"/>
      <c r="B240" s="162"/>
      <c r="C240" s="178"/>
      <c r="D240" s="258" t="s">
        <v>764</v>
      </c>
      <c r="E240" s="7">
        <v>1</v>
      </c>
      <c r="F240" s="7">
        <v>151920</v>
      </c>
      <c r="G240" s="7">
        <f>0+[1]táj.2!G240</f>
        <v>0</v>
      </c>
      <c r="H240" s="7">
        <f>0+[1]táj.2!H240</f>
        <v>0</v>
      </c>
      <c r="I240" s="7">
        <f>2000+[1]táj.2!I240</f>
        <v>2000</v>
      </c>
      <c r="J240" s="7">
        <f>0+[1]táj.2!J240</f>
        <v>0</v>
      </c>
      <c r="K240" s="7">
        <f>0+[1]táj.2!K240</f>
        <v>0</v>
      </c>
      <c r="L240" s="7">
        <f>0+[1]táj.2!L240</f>
        <v>0</v>
      </c>
      <c r="M240" s="7">
        <f>0+[1]táj.2!M240</f>
        <v>0</v>
      </c>
      <c r="N240" s="7">
        <f>0+[1]táj.2!N240</f>
        <v>0</v>
      </c>
      <c r="O240" s="7">
        <f>0+[1]táj.2!O240</f>
        <v>0</v>
      </c>
      <c r="P240" s="7">
        <f>0+[1]táj.2!P240</f>
        <v>0</v>
      </c>
      <c r="Q240" s="7">
        <f t="shared" si="17"/>
        <v>2000</v>
      </c>
    </row>
    <row r="241" spans="1:17" ht="14.1" customHeight="1" x14ac:dyDescent="0.2">
      <c r="A241" s="162"/>
      <c r="B241" s="162"/>
      <c r="C241" s="178"/>
      <c r="D241" s="258" t="s">
        <v>765</v>
      </c>
      <c r="E241" s="7">
        <v>1</v>
      </c>
      <c r="F241" s="7">
        <v>151917</v>
      </c>
      <c r="G241" s="7">
        <f>0+[1]táj.2!G241</f>
        <v>0</v>
      </c>
      <c r="H241" s="7">
        <f>0+[1]táj.2!H241</f>
        <v>0</v>
      </c>
      <c r="I241" s="7">
        <f>4625+[1]táj.2!I241</f>
        <v>15086</v>
      </c>
      <c r="J241" s="7">
        <f>0+[1]táj.2!J241</f>
        <v>0</v>
      </c>
      <c r="K241" s="7">
        <f>0+[1]táj.2!K241</f>
        <v>0</v>
      </c>
      <c r="L241" s="7">
        <f>0+[1]táj.2!L241</f>
        <v>675</v>
      </c>
      <c r="M241" s="7">
        <f>0+[1]táj.2!M241</f>
        <v>0</v>
      </c>
      <c r="N241" s="7">
        <f>0+[1]táj.2!N241</f>
        <v>0</v>
      </c>
      <c r="O241" s="7">
        <f>0+[1]táj.2!O241</f>
        <v>0</v>
      </c>
      <c r="P241" s="7">
        <f>0+[1]táj.2!P241</f>
        <v>0</v>
      </c>
      <c r="Q241" s="7">
        <f t="shared" si="17"/>
        <v>15761</v>
      </c>
    </row>
    <row r="242" spans="1:17" ht="15" customHeight="1" x14ac:dyDescent="0.2">
      <c r="A242" s="162"/>
      <c r="B242" s="162"/>
      <c r="C242" s="178"/>
      <c r="D242" s="258" t="s">
        <v>766</v>
      </c>
      <c r="E242" s="7">
        <v>2</v>
      </c>
      <c r="F242" s="7">
        <v>151503</v>
      </c>
      <c r="G242" s="7">
        <f>0+[1]táj.2!G242</f>
        <v>0</v>
      </c>
      <c r="H242" s="7">
        <f>0+[1]táj.2!H242</f>
        <v>0</v>
      </c>
      <c r="I242" s="7">
        <f>1800+[1]táj.2!I242</f>
        <v>2000</v>
      </c>
      <c r="J242" s="7">
        <f>0+[1]táj.2!J242</f>
        <v>0</v>
      </c>
      <c r="K242" s="7">
        <f>0+[1]táj.2!K242</f>
        <v>0</v>
      </c>
      <c r="L242" s="7">
        <f>0+[1]táj.2!L242</f>
        <v>0</v>
      </c>
      <c r="M242" s="7">
        <f>0+[1]táj.2!M242</f>
        <v>0</v>
      </c>
      <c r="N242" s="7">
        <f>0+[1]táj.2!N242</f>
        <v>0</v>
      </c>
      <c r="O242" s="7">
        <f>0+[1]táj.2!O242</f>
        <v>0</v>
      </c>
      <c r="P242" s="7">
        <f>0+[1]táj.2!P242</f>
        <v>0</v>
      </c>
      <c r="Q242" s="7">
        <f t="shared" si="17"/>
        <v>2000</v>
      </c>
    </row>
    <row r="243" spans="1:17" ht="15" customHeight="1" x14ac:dyDescent="0.2">
      <c r="A243" s="162"/>
      <c r="B243" s="162"/>
      <c r="C243" s="178"/>
      <c r="D243" s="602" t="s">
        <v>767</v>
      </c>
      <c r="E243" s="7">
        <v>2</v>
      </c>
      <c r="F243" s="7">
        <v>151921</v>
      </c>
      <c r="G243" s="7">
        <f>0+[1]táj.2!G243</f>
        <v>0</v>
      </c>
      <c r="H243" s="7">
        <f>0+[1]táj.2!H243</f>
        <v>0</v>
      </c>
      <c r="I243" s="7">
        <f>300+[1]táj.2!I243</f>
        <v>0</v>
      </c>
      <c r="J243" s="7">
        <f>0+[1]táj.2!J243</f>
        <v>0</v>
      </c>
      <c r="K243" s="7">
        <f>0+[1]táj.2!K243</f>
        <v>0</v>
      </c>
      <c r="L243" s="7">
        <f>0+[1]táj.2!L243</f>
        <v>0</v>
      </c>
      <c r="M243" s="7">
        <f>0+[1]táj.2!M243</f>
        <v>0</v>
      </c>
      <c r="N243" s="7">
        <f>0+[1]táj.2!N243</f>
        <v>0</v>
      </c>
      <c r="O243" s="7">
        <f>0+[1]táj.2!O243</f>
        <v>0</v>
      </c>
      <c r="P243" s="7">
        <f>0+[1]táj.2!P243</f>
        <v>0</v>
      </c>
      <c r="Q243" s="7">
        <f t="shared" si="17"/>
        <v>0</v>
      </c>
    </row>
    <row r="244" spans="1:17" ht="15" customHeight="1" x14ac:dyDescent="0.2">
      <c r="A244" s="162"/>
      <c r="B244" s="162"/>
      <c r="C244" s="178"/>
      <c r="D244" s="278" t="s">
        <v>768</v>
      </c>
      <c r="E244" s="7">
        <v>2</v>
      </c>
      <c r="F244" s="7">
        <v>151922</v>
      </c>
      <c r="G244" s="7">
        <f>0+[1]táj.2!G244</f>
        <v>0</v>
      </c>
      <c r="H244" s="7">
        <f>0+[1]táj.2!H244</f>
        <v>0</v>
      </c>
      <c r="I244" s="7">
        <f>2000+[1]táj.2!I244</f>
        <v>2000</v>
      </c>
      <c r="J244" s="7">
        <f>0+[1]táj.2!J244</f>
        <v>0</v>
      </c>
      <c r="K244" s="7">
        <f>0+[1]táj.2!K244</f>
        <v>0</v>
      </c>
      <c r="L244" s="7">
        <f>0+[1]táj.2!L244</f>
        <v>0</v>
      </c>
      <c r="M244" s="7">
        <f>0+[1]táj.2!M244</f>
        <v>0</v>
      </c>
      <c r="N244" s="7">
        <f>0+[1]táj.2!N244</f>
        <v>0</v>
      </c>
      <c r="O244" s="7">
        <f>0+[1]táj.2!O244</f>
        <v>0</v>
      </c>
      <c r="P244" s="7">
        <f>0+[1]táj.2!P244</f>
        <v>0</v>
      </c>
      <c r="Q244" s="7">
        <f t="shared" si="17"/>
        <v>2000</v>
      </c>
    </row>
    <row r="245" spans="1:17" ht="15" customHeight="1" x14ac:dyDescent="0.2">
      <c r="A245" s="162"/>
      <c r="B245" s="162"/>
      <c r="C245" s="178"/>
      <c r="D245" s="258" t="s">
        <v>769</v>
      </c>
      <c r="E245" s="7">
        <v>2</v>
      </c>
      <c r="F245" s="7">
        <v>151507</v>
      </c>
      <c r="G245" s="7">
        <f>0+[1]táj.2!G245</f>
        <v>0</v>
      </c>
      <c r="H245" s="7">
        <f>0+[1]táj.2!H245</f>
        <v>0</v>
      </c>
      <c r="I245" s="7">
        <f>1000+[1]táj.2!I245</f>
        <v>1000</v>
      </c>
      <c r="J245" s="7">
        <f>0+[1]táj.2!J245</f>
        <v>0</v>
      </c>
      <c r="K245" s="7">
        <f>0+[1]táj.2!K245</f>
        <v>0</v>
      </c>
      <c r="L245" s="7">
        <f>0+[1]táj.2!L245</f>
        <v>0</v>
      </c>
      <c r="M245" s="7">
        <f>0+[1]táj.2!M245</f>
        <v>0</v>
      </c>
      <c r="N245" s="7">
        <f>0+[1]táj.2!N245</f>
        <v>0</v>
      </c>
      <c r="O245" s="7">
        <f>0+[1]táj.2!O245</f>
        <v>0</v>
      </c>
      <c r="P245" s="7">
        <f>0+[1]táj.2!P245</f>
        <v>0</v>
      </c>
      <c r="Q245" s="7">
        <f t="shared" si="17"/>
        <v>1000</v>
      </c>
    </row>
    <row r="246" spans="1:17" ht="15" customHeight="1" x14ac:dyDescent="0.2">
      <c r="A246" s="162"/>
      <c r="B246" s="162"/>
      <c r="C246" s="178"/>
      <c r="D246" s="258" t="s">
        <v>770</v>
      </c>
      <c r="E246" s="7">
        <v>2</v>
      </c>
      <c r="F246" s="7">
        <v>151509</v>
      </c>
      <c r="G246" s="7">
        <f>0+[1]táj.2!G246</f>
        <v>0</v>
      </c>
      <c r="H246" s="7">
        <f>0+[1]táj.2!H246</f>
        <v>0</v>
      </c>
      <c r="I246" s="7">
        <f>500+[1]táj.2!I246</f>
        <v>0</v>
      </c>
      <c r="J246" s="7">
        <f>0+[1]táj.2!J246</f>
        <v>0</v>
      </c>
      <c r="K246" s="7">
        <f>0+[1]táj.2!K246</f>
        <v>0</v>
      </c>
      <c r="L246" s="7">
        <f>0+[1]táj.2!L246</f>
        <v>0</v>
      </c>
      <c r="M246" s="7">
        <f>0+[1]táj.2!M246</f>
        <v>0</v>
      </c>
      <c r="N246" s="7">
        <f>0+[1]táj.2!N246</f>
        <v>0</v>
      </c>
      <c r="O246" s="7">
        <f>0+[1]táj.2!O246</f>
        <v>0</v>
      </c>
      <c r="P246" s="7">
        <f>0+[1]táj.2!P246</f>
        <v>0</v>
      </c>
      <c r="Q246" s="7">
        <f t="shared" si="17"/>
        <v>0</v>
      </c>
    </row>
    <row r="247" spans="1:17" ht="15" customHeight="1" x14ac:dyDescent="0.2">
      <c r="A247" s="162"/>
      <c r="B247" s="162"/>
      <c r="C247" s="178"/>
      <c r="D247" s="258" t="s">
        <v>771</v>
      </c>
      <c r="E247" s="7">
        <v>1</v>
      </c>
      <c r="F247" s="7">
        <v>151510</v>
      </c>
      <c r="G247" s="7">
        <f>0+[1]táj.2!G247</f>
        <v>0</v>
      </c>
      <c r="H247" s="7">
        <f>0+[1]táj.2!H247</f>
        <v>0</v>
      </c>
      <c r="I247" s="7">
        <f>13200+[1]táj.2!I247</f>
        <v>12723</v>
      </c>
      <c r="J247" s="7">
        <f>0+[1]táj.2!J247</f>
        <v>0</v>
      </c>
      <c r="K247" s="7">
        <f>0+[1]táj.2!K247</f>
        <v>0</v>
      </c>
      <c r="L247" s="7">
        <f>0+[1]táj.2!L247</f>
        <v>0</v>
      </c>
      <c r="M247" s="7">
        <f>0+[1]táj.2!M247</f>
        <v>0</v>
      </c>
      <c r="N247" s="7">
        <f>0+[1]táj.2!N247</f>
        <v>0</v>
      </c>
      <c r="O247" s="7">
        <f>0+[1]táj.2!O247</f>
        <v>0</v>
      </c>
      <c r="P247" s="7">
        <f>0+[1]táj.2!P247</f>
        <v>0</v>
      </c>
      <c r="Q247" s="7">
        <f t="shared" si="17"/>
        <v>12723</v>
      </c>
    </row>
    <row r="248" spans="1:17" ht="15" customHeight="1" x14ac:dyDescent="0.2">
      <c r="A248" s="162"/>
      <c r="B248" s="162"/>
      <c r="C248" s="178"/>
      <c r="D248" s="259" t="s">
        <v>772</v>
      </c>
      <c r="E248" s="158">
        <v>1</v>
      </c>
      <c r="F248" s="7">
        <v>151520</v>
      </c>
      <c r="G248" s="7">
        <f>0+[1]táj.2!G248</f>
        <v>0</v>
      </c>
      <c r="H248" s="7">
        <f>0+[1]táj.2!H248</f>
        <v>0</v>
      </c>
      <c r="I248" s="7">
        <f>2500+[1]táj.2!I248</f>
        <v>2500</v>
      </c>
      <c r="J248" s="7">
        <f>0+[1]táj.2!J248</f>
        <v>0</v>
      </c>
      <c r="K248" s="7">
        <f>0+[1]táj.2!K248</f>
        <v>0</v>
      </c>
      <c r="L248" s="7">
        <f>0+[1]táj.2!L248</f>
        <v>0</v>
      </c>
      <c r="M248" s="7">
        <f>0+[1]táj.2!M248</f>
        <v>0</v>
      </c>
      <c r="N248" s="7">
        <f>0+[1]táj.2!N248</f>
        <v>0</v>
      </c>
      <c r="O248" s="7">
        <f>0+[1]táj.2!O248</f>
        <v>0</v>
      </c>
      <c r="P248" s="7">
        <f>0+[1]táj.2!P248</f>
        <v>0</v>
      </c>
      <c r="Q248" s="7">
        <f t="shared" si="17"/>
        <v>2500</v>
      </c>
    </row>
    <row r="249" spans="1:17" ht="15" customHeight="1" x14ac:dyDescent="0.2">
      <c r="A249" s="162"/>
      <c r="B249" s="162"/>
      <c r="C249" s="178"/>
      <c r="D249" s="260" t="s">
        <v>773</v>
      </c>
      <c r="E249" s="7">
        <v>1</v>
      </c>
      <c r="F249" s="7">
        <v>151521</v>
      </c>
      <c r="G249" s="7">
        <f>0+[1]táj.2!G249</f>
        <v>0</v>
      </c>
      <c r="H249" s="7">
        <f>0+[1]táj.2!H249</f>
        <v>0</v>
      </c>
      <c r="I249" s="7">
        <f>400+[1]táj.2!I249</f>
        <v>0</v>
      </c>
      <c r="J249" s="7">
        <f>0+[1]táj.2!J249</f>
        <v>0</v>
      </c>
      <c r="K249" s="7">
        <f>0+[1]táj.2!K249</f>
        <v>0</v>
      </c>
      <c r="L249" s="7">
        <f>0+[1]táj.2!L249</f>
        <v>0</v>
      </c>
      <c r="M249" s="7">
        <f>0+[1]táj.2!M249</f>
        <v>0</v>
      </c>
      <c r="N249" s="7">
        <f>0+[1]táj.2!N249</f>
        <v>0</v>
      </c>
      <c r="O249" s="7">
        <f>0+[1]táj.2!O249</f>
        <v>0</v>
      </c>
      <c r="P249" s="7">
        <f>0+[1]táj.2!P249</f>
        <v>0</v>
      </c>
      <c r="Q249" s="7">
        <f t="shared" si="17"/>
        <v>0</v>
      </c>
    </row>
    <row r="250" spans="1:17" ht="15" customHeight="1" x14ac:dyDescent="0.2">
      <c r="A250" s="162"/>
      <c r="B250" s="162"/>
      <c r="C250" s="178"/>
      <c r="D250" s="260" t="s">
        <v>774</v>
      </c>
      <c r="E250" s="7">
        <v>1</v>
      </c>
      <c r="F250" s="7">
        <v>151522</v>
      </c>
      <c r="G250" s="7">
        <f>0+[1]táj.2!G250</f>
        <v>0</v>
      </c>
      <c r="H250" s="7">
        <f>0+[1]táj.2!H250</f>
        <v>0</v>
      </c>
      <c r="I250" s="7">
        <f>1000+[1]táj.2!I250</f>
        <v>1000</v>
      </c>
      <c r="J250" s="7">
        <f>0+[1]táj.2!J250</f>
        <v>0</v>
      </c>
      <c r="K250" s="7">
        <f>0+[1]táj.2!K250</f>
        <v>0</v>
      </c>
      <c r="L250" s="7">
        <f>0+[1]táj.2!L250</f>
        <v>0</v>
      </c>
      <c r="M250" s="7">
        <f>0+[1]táj.2!M250</f>
        <v>0</v>
      </c>
      <c r="N250" s="7">
        <f>0+[1]táj.2!N250</f>
        <v>0</v>
      </c>
      <c r="O250" s="7">
        <f>0+[1]táj.2!O250</f>
        <v>0</v>
      </c>
      <c r="P250" s="7">
        <f>0+[1]táj.2!P250</f>
        <v>0</v>
      </c>
      <c r="Q250" s="7">
        <f t="shared" si="17"/>
        <v>1000</v>
      </c>
    </row>
    <row r="251" spans="1:17" ht="15" customHeight="1" x14ac:dyDescent="0.2">
      <c r="A251" s="162"/>
      <c r="B251" s="162"/>
      <c r="C251" s="178"/>
      <c r="D251" s="200" t="s">
        <v>775</v>
      </c>
      <c r="E251" s="7">
        <v>2</v>
      </c>
      <c r="F251" s="7">
        <v>151529</v>
      </c>
      <c r="G251" s="7">
        <f>0+[1]táj.2!G251</f>
        <v>0</v>
      </c>
      <c r="H251" s="7">
        <f>0+[1]táj.2!H251</f>
        <v>0</v>
      </c>
      <c r="I251" s="7">
        <f>200+[1]táj.2!I251</f>
        <v>200</v>
      </c>
      <c r="J251" s="7">
        <f>0+[1]táj.2!J251</f>
        <v>0</v>
      </c>
      <c r="K251" s="7">
        <f>0+[1]táj.2!K251</f>
        <v>0</v>
      </c>
      <c r="L251" s="7">
        <f>0+[1]táj.2!L251</f>
        <v>0</v>
      </c>
      <c r="M251" s="7">
        <f>0+[1]táj.2!M251</f>
        <v>0</v>
      </c>
      <c r="N251" s="7">
        <f>0+[1]táj.2!N251</f>
        <v>0</v>
      </c>
      <c r="O251" s="7">
        <f>0+[1]táj.2!O251</f>
        <v>0</v>
      </c>
      <c r="P251" s="7">
        <f>0+[1]táj.2!P251</f>
        <v>0</v>
      </c>
      <c r="Q251" s="7">
        <f t="shared" si="17"/>
        <v>200</v>
      </c>
    </row>
    <row r="252" spans="1:17" ht="15" customHeight="1" x14ac:dyDescent="0.2">
      <c r="A252" s="162"/>
      <c r="B252" s="162"/>
      <c r="C252" s="178"/>
      <c r="D252" s="258" t="s">
        <v>776</v>
      </c>
      <c r="E252" s="7">
        <v>1</v>
      </c>
      <c r="F252" s="7">
        <v>151512</v>
      </c>
      <c r="G252" s="7">
        <f>0+[1]táj.2!G252</f>
        <v>0</v>
      </c>
      <c r="H252" s="7">
        <f>0+[1]táj.2!H252</f>
        <v>0</v>
      </c>
      <c r="I252" s="7">
        <f>1165+[1]táj.2!I252</f>
        <v>165</v>
      </c>
      <c r="J252" s="7">
        <f>0+[1]táj.2!J252</f>
        <v>0</v>
      </c>
      <c r="K252" s="7">
        <f>0+[1]táj.2!K252</f>
        <v>0</v>
      </c>
      <c r="L252" s="7">
        <f>0+[1]táj.2!L252</f>
        <v>0</v>
      </c>
      <c r="M252" s="7">
        <f>0+[1]táj.2!M252</f>
        <v>0</v>
      </c>
      <c r="N252" s="7">
        <f>0+[1]táj.2!N252</f>
        <v>0</v>
      </c>
      <c r="O252" s="7">
        <f>0+[1]táj.2!O252</f>
        <v>0</v>
      </c>
      <c r="P252" s="7">
        <f>0+[1]táj.2!P252</f>
        <v>0</v>
      </c>
      <c r="Q252" s="7">
        <f t="shared" si="17"/>
        <v>165</v>
      </c>
    </row>
    <row r="253" spans="1:17" ht="15" customHeight="1" x14ac:dyDescent="0.2">
      <c r="A253" s="162"/>
      <c r="B253" s="162"/>
      <c r="C253" s="178"/>
      <c r="D253" s="260" t="s">
        <v>777</v>
      </c>
      <c r="E253" s="7">
        <v>1</v>
      </c>
      <c r="F253" s="7">
        <v>151519</v>
      </c>
      <c r="G253" s="7">
        <f>0+[1]táj.2!G253</f>
        <v>0</v>
      </c>
      <c r="H253" s="7">
        <f>0+[1]táj.2!H253</f>
        <v>0</v>
      </c>
      <c r="I253" s="7">
        <f>500+[1]táj.2!I253</f>
        <v>0</v>
      </c>
      <c r="J253" s="7">
        <f>0+[1]táj.2!J253</f>
        <v>0</v>
      </c>
      <c r="K253" s="7">
        <f>0+[1]táj.2!K253</f>
        <v>0</v>
      </c>
      <c r="L253" s="7">
        <f>0+[1]táj.2!L253</f>
        <v>0</v>
      </c>
      <c r="M253" s="7">
        <f>0+[1]táj.2!M253</f>
        <v>0</v>
      </c>
      <c r="N253" s="7">
        <f>0+[1]táj.2!N253</f>
        <v>0</v>
      </c>
      <c r="O253" s="7">
        <f>0+[1]táj.2!O253</f>
        <v>0</v>
      </c>
      <c r="P253" s="7">
        <f>0+[1]táj.2!P253</f>
        <v>0</v>
      </c>
      <c r="Q253" s="7">
        <f t="shared" si="17"/>
        <v>0</v>
      </c>
    </row>
    <row r="254" spans="1:17" ht="15" customHeight="1" x14ac:dyDescent="0.2">
      <c r="A254" s="162"/>
      <c r="B254" s="162"/>
      <c r="C254" s="178"/>
      <c r="D254" s="258" t="s">
        <v>778</v>
      </c>
      <c r="E254" s="7">
        <v>2</v>
      </c>
      <c r="F254" s="7">
        <v>151511</v>
      </c>
      <c r="G254" s="7">
        <f>0+[1]táj.2!G254</f>
        <v>0</v>
      </c>
      <c r="H254" s="7">
        <f>0+[1]táj.2!H254</f>
        <v>0</v>
      </c>
      <c r="I254" s="7">
        <f>4000+[1]táj.2!I254</f>
        <v>4000</v>
      </c>
      <c r="J254" s="7">
        <f>0+[1]táj.2!J254</f>
        <v>0</v>
      </c>
      <c r="K254" s="7">
        <f>0+[1]táj.2!K254</f>
        <v>0</v>
      </c>
      <c r="L254" s="7">
        <f>0+[1]táj.2!L254</f>
        <v>0</v>
      </c>
      <c r="M254" s="7">
        <f>0+[1]táj.2!M254</f>
        <v>0</v>
      </c>
      <c r="N254" s="7">
        <f>0+[1]táj.2!N254</f>
        <v>0</v>
      </c>
      <c r="O254" s="7">
        <f>0+[1]táj.2!O254</f>
        <v>0</v>
      </c>
      <c r="P254" s="7">
        <f>0+[1]táj.2!P254</f>
        <v>0</v>
      </c>
      <c r="Q254" s="7">
        <f t="shared" si="17"/>
        <v>4000</v>
      </c>
    </row>
    <row r="255" spans="1:17" ht="15" customHeight="1" x14ac:dyDescent="0.2">
      <c r="A255" s="162"/>
      <c r="B255" s="162"/>
      <c r="C255" s="178"/>
      <c r="D255" s="258" t="s">
        <v>779</v>
      </c>
      <c r="E255" s="134">
        <v>2</v>
      </c>
      <c r="F255" s="7">
        <v>151514</v>
      </c>
      <c r="G255" s="7">
        <f>0+[1]táj.2!G255</f>
        <v>0</v>
      </c>
      <c r="H255" s="7">
        <f>0+[1]táj.2!H255</f>
        <v>0</v>
      </c>
      <c r="I255" s="7">
        <f>3000+[1]táj.2!I255</f>
        <v>3000</v>
      </c>
      <c r="J255" s="7">
        <f>0+[1]táj.2!J255</f>
        <v>0</v>
      </c>
      <c r="K255" s="7">
        <f>0+[1]táj.2!K255</f>
        <v>0</v>
      </c>
      <c r="L255" s="7">
        <f>0+[1]táj.2!L255</f>
        <v>0</v>
      </c>
      <c r="M255" s="7">
        <f>0+[1]táj.2!M255</f>
        <v>0</v>
      </c>
      <c r="N255" s="7">
        <f>0+[1]táj.2!N255</f>
        <v>0</v>
      </c>
      <c r="O255" s="7">
        <f>0+[1]táj.2!O255</f>
        <v>0</v>
      </c>
      <c r="P255" s="7">
        <f>0+[1]táj.2!P255</f>
        <v>0</v>
      </c>
      <c r="Q255" s="7">
        <f t="shared" si="17"/>
        <v>3000</v>
      </c>
    </row>
    <row r="256" spans="1:17" ht="15" customHeight="1" x14ac:dyDescent="0.2">
      <c r="A256" s="162"/>
      <c r="B256" s="162"/>
      <c r="C256" s="178"/>
      <c r="D256" s="258" t="s">
        <v>780</v>
      </c>
      <c r="E256" s="134">
        <v>2</v>
      </c>
      <c r="F256" s="7">
        <v>151515</v>
      </c>
      <c r="G256" s="7">
        <f>0+[1]táj.2!G256</f>
        <v>0</v>
      </c>
      <c r="H256" s="7">
        <f>0+[1]táj.2!H256</f>
        <v>0</v>
      </c>
      <c r="I256" s="7">
        <f>0+[1]táj.2!I256</f>
        <v>0</v>
      </c>
      <c r="J256" s="7">
        <f>0+[1]táj.2!J256</f>
        <v>0</v>
      </c>
      <c r="K256" s="7">
        <f>0+[1]táj.2!K256</f>
        <v>0</v>
      </c>
      <c r="L256" s="7">
        <f>0+[1]táj.2!L256</f>
        <v>0</v>
      </c>
      <c r="M256" s="7">
        <f>0+[1]táj.2!M256</f>
        <v>0</v>
      </c>
      <c r="N256" s="7">
        <f>0+[1]táj.2!N256</f>
        <v>0</v>
      </c>
      <c r="O256" s="7">
        <f>0+[1]táj.2!O256</f>
        <v>0</v>
      </c>
      <c r="P256" s="7">
        <f>0+[1]táj.2!P256</f>
        <v>0</v>
      </c>
      <c r="Q256" s="7">
        <f t="shared" si="17"/>
        <v>0</v>
      </c>
    </row>
    <row r="257" spans="1:17" ht="15" customHeight="1" x14ac:dyDescent="0.2">
      <c r="A257" s="162"/>
      <c r="B257" s="162"/>
      <c r="C257" s="178"/>
      <c r="D257" s="258" t="s">
        <v>781</v>
      </c>
      <c r="E257" s="134">
        <v>1</v>
      </c>
      <c r="F257" s="7">
        <v>151513</v>
      </c>
      <c r="G257" s="7">
        <f>0+[1]táj.2!G257</f>
        <v>0</v>
      </c>
      <c r="H257" s="7">
        <f>0+[1]táj.2!H257</f>
        <v>0</v>
      </c>
      <c r="I257" s="7">
        <f>10000+[1]táj.2!I257</f>
        <v>8400</v>
      </c>
      <c r="J257" s="7">
        <f>0+[1]táj.2!J257</f>
        <v>0</v>
      </c>
      <c r="K257" s="7">
        <f>0+[1]táj.2!K257</f>
        <v>0</v>
      </c>
      <c r="L257" s="7">
        <f>0+[1]táj.2!L257</f>
        <v>0</v>
      </c>
      <c r="M257" s="7">
        <f>0+[1]táj.2!M257</f>
        <v>0</v>
      </c>
      <c r="N257" s="7">
        <f>0+[1]táj.2!N257</f>
        <v>0</v>
      </c>
      <c r="O257" s="7">
        <f>0+[1]táj.2!O257</f>
        <v>0</v>
      </c>
      <c r="P257" s="7">
        <f>0+[1]táj.2!P257</f>
        <v>0</v>
      </c>
      <c r="Q257" s="7">
        <f t="shared" si="17"/>
        <v>8400</v>
      </c>
    </row>
    <row r="258" spans="1:17" ht="15" customHeight="1" x14ac:dyDescent="0.2">
      <c r="A258" s="162"/>
      <c r="B258" s="162"/>
      <c r="C258" s="178"/>
      <c r="D258" s="258" t="s">
        <v>782</v>
      </c>
      <c r="E258" s="134">
        <v>2</v>
      </c>
      <c r="F258" s="7">
        <v>151918</v>
      </c>
      <c r="G258" s="7">
        <f>0+[1]táj.2!G258</f>
        <v>0</v>
      </c>
      <c r="H258" s="7">
        <f>0+[1]táj.2!H258</f>
        <v>0</v>
      </c>
      <c r="I258" s="7">
        <f>2000+[1]táj.2!I258</f>
        <v>0</v>
      </c>
      <c r="J258" s="7">
        <f>0+[1]táj.2!J258</f>
        <v>0</v>
      </c>
      <c r="K258" s="7">
        <f>0+[1]táj.2!K258</f>
        <v>0</v>
      </c>
      <c r="L258" s="7">
        <f>0+[1]táj.2!L258</f>
        <v>0</v>
      </c>
      <c r="M258" s="7">
        <f>0+[1]táj.2!M258</f>
        <v>0</v>
      </c>
      <c r="N258" s="7">
        <f>0+[1]táj.2!N258</f>
        <v>0</v>
      </c>
      <c r="O258" s="7">
        <f>0+[1]táj.2!O258</f>
        <v>0</v>
      </c>
      <c r="P258" s="7">
        <f>0+[1]táj.2!P258</f>
        <v>0</v>
      </c>
      <c r="Q258" s="7">
        <f t="shared" si="17"/>
        <v>0</v>
      </c>
    </row>
    <row r="259" spans="1:17" ht="15" customHeight="1" x14ac:dyDescent="0.2">
      <c r="A259" s="162"/>
      <c r="B259" s="162"/>
      <c r="C259" s="178"/>
      <c r="D259" s="258" t="s">
        <v>783</v>
      </c>
      <c r="E259" s="134">
        <v>2</v>
      </c>
      <c r="F259" s="7">
        <v>151923</v>
      </c>
      <c r="G259" s="7">
        <f>0+[1]táj.2!G259</f>
        <v>0</v>
      </c>
      <c r="H259" s="7">
        <f>0+[1]táj.2!H259</f>
        <v>0</v>
      </c>
      <c r="I259" s="7">
        <f>1000+[1]táj.2!I259</f>
        <v>0</v>
      </c>
      <c r="J259" s="7">
        <f>0+[1]táj.2!J259</f>
        <v>0</v>
      </c>
      <c r="K259" s="7">
        <f>0+[1]táj.2!K259</f>
        <v>0</v>
      </c>
      <c r="L259" s="7">
        <f>0+[1]táj.2!L259</f>
        <v>0</v>
      </c>
      <c r="M259" s="7">
        <f>0+[1]táj.2!M259</f>
        <v>0</v>
      </c>
      <c r="N259" s="7">
        <f>0+[1]táj.2!N259</f>
        <v>0</v>
      </c>
      <c r="O259" s="7">
        <f>0+[1]táj.2!O259</f>
        <v>0</v>
      </c>
      <c r="P259" s="7">
        <f>0+[1]táj.2!P259</f>
        <v>0</v>
      </c>
      <c r="Q259" s="7">
        <f t="shared" si="17"/>
        <v>0</v>
      </c>
    </row>
    <row r="260" spans="1:17" ht="29.25" customHeight="1" x14ac:dyDescent="0.2">
      <c r="A260" s="162"/>
      <c r="B260" s="162"/>
      <c r="C260" s="178"/>
      <c r="D260" s="139" t="s">
        <v>102</v>
      </c>
      <c r="E260" s="134">
        <v>2</v>
      </c>
      <c r="F260" s="7">
        <v>151524</v>
      </c>
      <c r="G260" s="7">
        <f>0+[1]táj.2!G260</f>
        <v>0</v>
      </c>
      <c r="H260" s="7">
        <f>0+[1]táj.2!H260</f>
        <v>0</v>
      </c>
      <c r="I260" s="7">
        <f>8496+[1]táj.2!I260</f>
        <v>7496</v>
      </c>
      <c r="J260" s="7">
        <f>0+[1]táj.2!J260</f>
        <v>0</v>
      </c>
      <c r="K260" s="7">
        <f>1000+[1]táj.2!K260</f>
        <v>1000</v>
      </c>
      <c r="L260" s="7">
        <f>0+[1]táj.2!L260</f>
        <v>0</v>
      </c>
      <c r="M260" s="7">
        <f>0+[1]táj.2!M260</f>
        <v>0</v>
      </c>
      <c r="N260" s="7">
        <f>0+[1]táj.2!N260</f>
        <v>0</v>
      </c>
      <c r="O260" s="7">
        <f>0+[1]táj.2!O260</f>
        <v>0</v>
      </c>
      <c r="P260" s="7">
        <f>0+[1]táj.2!P260</f>
        <v>0</v>
      </c>
      <c r="Q260" s="7">
        <f t="shared" si="17"/>
        <v>8496</v>
      </c>
    </row>
    <row r="261" spans="1:17" ht="15" customHeight="1" x14ac:dyDescent="0.2">
      <c r="A261" s="162"/>
      <c r="B261" s="162"/>
      <c r="C261" s="178"/>
      <c r="D261" s="247" t="s">
        <v>784</v>
      </c>
      <c r="E261" s="171"/>
      <c r="F261" s="171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ht="15" customHeight="1" x14ac:dyDescent="0.2">
      <c r="A262" s="162"/>
      <c r="B262" s="162"/>
      <c r="C262" s="178"/>
      <c r="D262" s="247" t="s">
        <v>785</v>
      </c>
      <c r="E262" s="7">
        <v>1</v>
      </c>
      <c r="F262" s="7">
        <v>151401</v>
      </c>
      <c r="G262" s="7">
        <f>0+[1]táj.2!G262</f>
        <v>0</v>
      </c>
      <c r="H262" s="7">
        <f>0+[1]táj.2!H262</f>
        <v>0</v>
      </c>
      <c r="I262" s="7">
        <f>166820+[1]táj.2!I262</f>
        <v>166219</v>
      </c>
      <c r="J262" s="7">
        <f>0+[1]táj.2!J262</f>
        <v>0</v>
      </c>
      <c r="K262" s="7">
        <f>0+[1]táj.2!K262</f>
        <v>0</v>
      </c>
      <c r="L262" s="7">
        <f>0+[1]táj.2!L262</f>
        <v>0</v>
      </c>
      <c r="M262" s="7">
        <f>0+[1]táj.2!M262</f>
        <v>0</v>
      </c>
      <c r="N262" s="7">
        <f>0+[1]táj.2!N262</f>
        <v>0</v>
      </c>
      <c r="O262" s="7">
        <f>0+[1]táj.2!O262</f>
        <v>0</v>
      </c>
      <c r="P262" s="7">
        <f>0+[1]táj.2!P262</f>
        <v>0</v>
      </c>
      <c r="Q262" s="7">
        <f t="shared" ref="Q262:Q277" si="18">SUM(G262:P262)</f>
        <v>166219</v>
      </c>
    </row>
    <row r="263" spans="1:17" ht="15" customHeight="1" x14ac:dyDescent="0.2">
      <c r="A263" s="162"/>
      <c r="B263" s="162"/>
      <c r="C263" s="178"/>
      <c r="D263" s="247" t="s">
        <v>786</v>
      </c>
      <c r="E263" s="171">
        <v>1</v>
      </c>
      <c r="F263" s="7">
        <v>151402</v>
      </c>
      <c r="G263" s="7">
        <f>0+[1]táj.2!G263</f>
        <v>0</v>
      </c>
      <c r="H263" s="7">
        <f>0+[1]táj.2!H263</f>
        <v>0</v>
      </c>
      <c r="I263" s="7">
        <f>41015+[1]táj.2!I263</f>
        <v>41015</v>
      </c>
      <c r="J263" s="7">
        <f>0+[1]táj.2!J263</f>
        <v>0</v>
      </c>
      <c r="K263" s="7">
        <f>0+[1]táj.2!K263</f>
        <v>0</v>
      </c>
      <c r="L263" s="7">
        <f>0+[1]táj.2!L263</f>
        <v>0</v>
      </c>
      <c r="M263" s="7">
        <f>0+[1]táj.2!M263</f>
        <v>0</v>
      </c>
      <c r="N263" s="7">
        <f>0+[1]táj.2!N263</f>
        <v>0</v>
      </c>
      <c r="O263" s="7">
        <f>0+[1]táj.2!O263</f>
        <v>0</v>
      </c>
      <c r="P263" s="7">
        <f>0+[1]táj.2!P263</f>
        <v>0</v>
      </c>
      <c r="Q263" s="7">
        <f t="shared" si="18"/>
        <v>41015</v>
      </c>
    </row>
    <row r="264" spans="1:17" ht="15" customHeight="1" x14ac:dyDescent="0.2">
      <c r="A264" s="162"/>
      <c r="B264" s="162"/>
      <c r="C264" s="178"/>
      <c r="D264" s="247" t="s">
        <v>787</v>
      </c>
      <c r="E264" s="171">
        <v>1</v>
      </c>
      <c r="F264" s="7">
        <v>151411</v>
      </c>
      <c r="G264" s="7">
        <f>0+[1]táj.2!G264</f>
        <v>0</v>
      </c>
      <c r="H264" s="7">
        <f>0+[1]táj.2!H264</f>
        <v>0</v>
      </c>
      <c r="I264" s="7">
        <f>5000+[1]táj.2!I264</f>
        <v>0</v>
      </c>
      <c r="J264" s="7">
        <f>0+[1]táj.2!J264</f>
        <v>0</v>
      </c>
      <c r="K264" s="7">
        <f>0+[1]táj.2!K264</f>
        <v>0</v>
      </c>
      <c r="L264" s="7">
        <f>0+[1]táj.2!L264</f>
        <v>0</v>
      </c>
      <c r="M264" s="7">
        <f>0+[1]táj.2!M264</f>
        <v>0</v>
      </c>
      <c r="N264" s="7">
        <f>0+[1]táj.2!N264</f>
        <v>0</v>
      </c>
      <c r="O264" s="7">
        <f>0+[1]táj.2!O264</f>
        <v>0</v>
      </c>
      <c r="P264" s="7">
        <f>0+[1]táj.2!P264</f>
        <v>0</v>
      </c>
      <c r="Q264" s="7">
        <f t="shared" si="18"/>
        <v>0</v>
      </c>
    </row>
    <row r="265" spans="1:17" ht="15" customHeight="1" x14ac:dyDescent="0.2">
      <c r="A265" s="162"/>
      <c r="B265" s="162"/>
      <c r="C265" s="178"/>
      <c r="D265" s="247" t="s">
        <v>788</v>
      </c>
      <c r="E265" s="171">
        <v>1</v>
      </c>
      <c r="F265" s="7">
        <v>151412</v>
      </c>
      <c r="G265" s="7">
        <f>0+[1]táj.2!G265</f>
        <v>0</v>
      </c>
      <c r="H265" s="7">
        <f>0+[1]táj.2!H265</f>
        <v>0</v>
      </c>
      <c r="I265" s="7">
        <f>3000+[1]táj.2!I265</f>
        <v>0</v>
      </c>
      <c r="J265" s="7">
        <f>0+[1]táj.2!J265</f>
        <v>0</v>
      </c>
      <c r="K265" s="7">
        <f>0+[1]táj.2!K265</f>
        <v>0</v>
      </c>
      <c r="L265" s="7">
        <f>0+[1]táj.2!L265</f>
        <v>0</v>
      </c>
      <c r="M265" s="7">
        <f>0+[1]táj.2!M265</f>
        <v>0</v>
      </c>
      <c r="N265" s="7">
        <f>0+[1]táj.2!N265</f>
        <v>0</v>
      </c>
      <c r="O265" s="7">
        <f>0+[1]táj.2!O265</f>
        <v>0</v>
      </c>
      <c r="P265" s="7">
        <f>0+[1]táj.2!P265</f>
        <v>0</v>
      </c>
      <c r="Q265" s="7">
        <f t="shared" si="18"/>
        <v>0</v>
      </c>
    </row>
    <row r="266" spans="1:17" ht="15" customHeight="1" x14ac:dyDescent="0.2">
      <c r="A266" s="162"/>
      <c r="B266" s="162"/>
      <c r="C266" s="178"/>
      <c r="D266" s="247" t="s">
        <v>77</v>
      </c>
      <c r="E266" s="171">
        <v>1</v>
      </c>
      <c r="F266" s="7">
        <v>151413</v>
      </c>
      <c r="G266" s="7">
        <f>0+[1]táj.2!G266</f>
        <v>0</v>
      </c>
      <c r="H266" s="7">
        <f>0+[1]táj.2!H266</f>
        <v>0</v>
      </c>
      <c r="I266" s="7">
        <f>8000+[1]táj.2!I266</f>
        <v>0</v>
      </c>
      <c r="J266" s="7">
        <f>0+[1]táj.2!J266</f>
        <v>0</v>
      </c>
      <c r="K266" s="7">
        <f>0+[1]táj.2!K266</f>
        <v>0</v>
      </c>
      <c r="L266" s="7">
        <f>0+[1]táj.2!L266</f>
        <v>0</v>
      </c>
      <c r="M266" s="7">
        <f>0+[1]táj.2!M266</f>
        <v>0</v>
      </c>
      <c r="N266" s="7">
        <f>0+[1]táj.2!N266</f>
        <v>0</v>
      </c>
      <c r="O266" s="7">
        <f>0+[1]táj.2!O266</f>
        <v>0</v>
      </c>
      <c r="P266" s="7">
        <f>0+[1]táj.2!P266</f>
        <v>0</v>
      </c>
      <c r="Q266" s="7">
        <f t="shared" si="18"/>
        <v>0</v>
      </c>
    </row>
    <row r="267" spans="1:17" ht="15" customHeight="1" x14ac:dyDescent="0.2">
      <c r="A267" s="162"/>
      <c r="B267" s="162"/>
      <c r="C267" s="178"/>
      <c r="D267" s="247" t="s">
        <v>789</v>
      </c>
      <c r="E267" s="171">
        <v>2</v>
      </c>
      <c r="F267" s="7">
        <v>151414</v>
      </c>
      <c r="G267" s="7">
        <f>0+[1]táj.2!G267</f>
        <v>0</v>
      </c>
      <c r="H267" s="7">
        <f>0+[1]táj.2!H267</f>
        <v>0</v>
      </c>
      <c r="I267" s="7">
        <f>5000+[1]táj.2!I267</f>
        <v>0</v>
      </c>
      <c r="J267" s="7">
        <f>0+[1]táj.2!J267</f>
        <v>0</v>
      </c>
      <c r="K267" s="7">
        <f>0+[1]táj.2!K267</f>
        <v>0</v>
      </c>
      <c r="L267" s="7">
        <f>0+[1]táj.2!L267</f>
        <v>0</v>
      </c>
      <c r="M267" s="7">
        <f>0+[1]táj.2!M267</f>
        <v>0</v>
      </c>
      <c r="N267" s="7">
        <f>0+[1]táj.2!N267</f>
        <v>0</v>
      </c>
      <c r="O267" s="7">
        <f>0+[1]táj.2!O267</f>
        <v>0</v>
      </c>
      <c r="P267" s="7">
        <f>0+[1]táj.2!P267</f>
        <v>0</v>
      </c>
      <c r="Q267" s="7">
        <f t="shared" si="18"/>
        <v>0</v>
      </c>
    </row>
    <row r="268" spans="1:17" ht="15" customHeight="1" x14ac:dyDescent="0.2">
      <c r="A268" s="162"/>
      <c r="B268" s="162"/>
      <c r="C268" s="178"/>
      <c r="D268" s="247" t="s">
        <v>790</v>
      </c>
      <c r="E268" s="171">
        <v>2</v>
      </c>
      <c r="F268" s="7">
        <v>151415</v>
      </c>
      <c r="G268" s="7">
        <f>0+[1]táj.2!G268</f>
        <v>0</v>
      </c>
      <c r="H268" s="7">
        <f>0+[1]táj.2!H268</f>
        <v>0</v>
      </c>
      <c r="I268" s="7">
        <f>1850+[1]táj.2!I268</f>
        <v>1850</v>
      </c>
      <c r="J268" s="7">
        <f>0+[1]táj.2!J268</f>
        <v>0</v>
      </c>
      <c r="K268" s="7">
        <f>0+[1]táj.2!K268</f>
        <v>0</v>
      </c>
      <c r="L268" s="7">
        <f>0+[1]táj.2!L268</f>
        <v>0</v>
      </c>
      <c r="M268" s="7">
        <f>0+[1]táj.2!M268</f>
        <v>0</v>
      </c>
      <c r="N268" s="7">
        <f>0+[1]táj.2!N268</f>
        <v>0</v>
      </c>
      <c r="O268" s="7">
        <f>0+[1]táj.2!O268</f>
        <v>0</v>
      </c>
      <c r="P268" s="7">
        <f>0+[1]táj.2!P268</f>
        <v>0</v>
      </c>
      <c r="Q268" s="7">
        <f t="shared" si="18"/>
        <v>1850</v>
      </c>
    </row>
    <row r="269" spans="1:17" ht="15" customHeight="1" x14ac:dyDescent="0.2">
      <c r="A269" s="162"/>
      <c r="B269" s="162"/>
      <c r="C269" s="178"/>
      <c r="D269" s="247" t="s">
        <v>791</v>
      </c>
      <c r="E269" s="171">
        <v>2</v>
      </c>
      <c r="F269" s="7">
        <v>151406</v>
      </c>
      <c r="G269" s="7">
        <f>0+[1]táj.2!G269</f>
        <v>0</v>
      </c>
      <c r="H269" s="7">
        <f>0+[1]táj.2!H269</f>
        <v>0</v>
      </c>
      <c r="I269" s="7">
        <f>500+[1]táj.2!I269</f>
        <v>0</v>
      </c>
      <c r="J269" s="7">
        <f>0+[1]táj.2!J269</f>
        <v>0</v>
      </c>
      <c r="K269" s="7">
        <f>0+[1]táj.2!K269</f>
        <v>0</v>
      </c>
      <c r="L269" s="7">
        <f>0+[1]táj.2!L269</f>
        <v>0</v>
      </c>
      <c r="M269" s="7">
        <f>0+[1]táj.2!M269</f>
        <v>0</v>
      </c>
      <c r="N269" s="7">
        <f>0+[1]táj.2!N269</f>
        <v>0</v>
      </c>
      <c r="O269" s="7">
        <f>0+[1]táj.2!O269</f>
        <v>0</v>
      </c>
      <c r="P269" s="7">
        <f>0+[1]táj.2!P269</f>
        <v>0</v>
      </c>
      <c r="Q269" s="7">
        <f t="shared" si="18"/>
        <v>0</v>
      </c>
    </row>
    <row r="270" spans="1:17" ht="15" customHeight="1" x14ac:dyDescent="0.2">
      <c r="A270" s="162"/>
      <c r="B270" s="162"/>
      <c r="C270" s="178"/>
      <c r="D270" s="247" t="s">
        <v>792</v>
      </c>
      <c r="E270" s="171">
        <v>1</v>
      </c>
      <c r="F270" s="7">
        <v>151416</v>
      </c>
      <c r="G270" s="7">
        <f>0+[1]táj.2!G270</f>
        <v>0</v>
      </c>
      <c r="H270" s="7">
        <f>0+[1]táj.2!H270</f>
        <v>0</v>
      </c>
      <c r="I270" s="7">
        <f>2000+[1]táj.2!I270</f>
        <v>0</v>
      </c>
      <c r="J270" s="7">
        <f>0+[1]táj.2!J270</f>
        <v>0</v>
      </c>
      <c r="K270" s="7">
        <f>0+[1]táj.2!K270</f>
        <v>0</v>
      </c>
      <c r="L270" s="7">
        <f>0+[1]táj.2!L270</f>
        <v>0</v>
      </c>
      <c r="M270" s="7">
        <f>0+[1]táj.2!M270</f>
        <v>0</v>
      </c>
      <c r="N270" s="7">
        <f>0+[1]táj.2!N270</f>
        <v>0</v>
      </c>
      <c r="O270" s="7">
        <f>0+[1]táj.2!O270</f>
        <v>0</v>
      </c>
      <c r="P270" s="7">
        <f>0+[1]táj.2!P270</f>
        <v>0</v>
      </c>
      <c r="Q270" s="7">
        <f t="shared" si="18"/>
        <v>0</v>
      </c>
    </row>
    <row r="271" spans="1:17" ht="15" customHeight="1" x14ac:dyDescent="0.2">
      <c r="A271" s="162"/>
      <c r="B271" s="162"/>
      <c r="C271" s="178"/>
      <c r="D271" s="247" t="s">
        <v>793</v>
      </c>
      <c r="E271" s="171">
        <v>1</v>
      </c>
      <c r="F271" s="7">
        <v>151417</v>
      </c>
      <c r="G271" s="7">
        <f>0+[1]táj.2!G271</f>
        <v>0</v>
      </c>
      <c r="H271" s="7">
        <f>0+[1]táj.2!H271</f>
        <v>0</v>
      </c>
      <c r="I271" s="7">
        <f>3000+[1]táj.2!I271</f>
        <v>0</v>
      </c>
      <c r="J271" s="7">
        <f>0+[1]táj.2!J271</f>
        <v>0</v>
      </c>
      <c r="K271" s="7">
        <f>0+[1]táj.2!K271</f>
        <v>0</v>
      </c>
      <c r="L271" s="7">
        <f>0+[1]táj.2!L271</f>
        <v>0</v>
      </c>
      <c r="M271" s="7">
        <f>0+[1]táj.2!M271</f>
        <v>0</v>
      </c>
      <c r="N271" s="7">
        <f>0+[1]táj.2!N271</f>
        <v>0</v>
      </c>
      <c r="O271" s="7">
        <f>0+[1]táj.2!O271</f>
        <v>0</v>
      </c>
      <c r="P271" s="7">
        <f>0+[1]táj.2!P271</f>
        <v>0</v>
      </c>
      <c r="Q271" s="7">
        <f t="shared" si="18"/>
        <v>0</v>
      </c>
    </row>
    <row r="272" spans="1:17" ht="15" customHeight="1" x14ac:dyDescent="0.2">
      <c r="A272" s="162"/>
      <c r="B272" s="162"/>
      <c r="C272" s="178"/>
      <c r="D272" s="247" t="s">
        <v>794</v>
      </c>
      <c r="E272" s="171">
        <v>2</v>
      </c>
      <c r="F272" s="7">
        <v>151407</v>
      </c>
      <c r="G272" s="7">
        <f>0+[1]táj.2!G272</f>
        <v>0</v>
      </c>
      <c r="H272" s="7">
        <f>0+[1]táj.2!H272</f>
        <v>0</v>
      </c>
      <c r="I272" s="7">
        <f>7830+[1]táj.2!I272</f>
        <v>7830</v>
      </c>
      <c r="J272" s="7">
        <f>0+[1]táj.2!J272</f>
        <v>0</v>
      </c>
      <c r="K272" s="7">
        <f>0+[1]táj.2!K272</f>
        <v>0</v>
      </c>
      <c r="L272" s="7">
        <f>0+[1]táj.2!L272</f>
        <v>0</v>
      </c>
      <c r="M272" s="7">
        <f>0+[1]táj.2!M272</f>
        <v>0</v>
      </c>
      <c r="N272" s="7">
        <f>0+[1]táj.2!N272</f>
        <v>0</v>
      </c>
      <c r="O272" s="7">
        <f>0+[1]táj.2!O272</f>
        <v>0</v>
      </c>
      <c r="P272" s="7">
        <f>0+[1]táj.2!P272</f>
        <v>0</v>
      </c>
      <c r="Q272" s="7">
        <f t="shared" si="18"/>
        <v>7830</v>
      </c>
    </row>
    <row r="273" spans="1:17" ht="15" customHeight="1" x14ac:dyDescent="0.2">
      <c r="A273" s="162"/>
      <c r="B273" s="162"/>
      <c r="C273" s="178"/>
      <c r="D273" s="247" t="s">
        <v>795</v>
      </c>
      <c r="E273" s="171">
        <v>1</v>
      </c>
      <c r="F273" s="7">
        <v>151403</v>
      </c>
      <c r="G273" s="7">
        <f>0+[1]táj.2!G273</f>
        <v>0</v>
      </c>
      <c r="H273" s="7">
        <f>0+[1]táj.2!H273</f>
        <v>0</v>
      </c>
      <c r="I273" s="7">
        <f>1000+[1]táj.2!I273</f>
        <v>0</v>
      </c>
      <c r="J273" s="7">
        <f>0+[1]táj.2!J273</f>
        <v>0</v>
      </c>
      <c r="K273" s="7">
        <f>0+[1]táj.2!K273</f>
        <v>0</v>
      </c>
      <c r="L273" s="7">
        <f>0+[1]táj.2!L273</f>
        <v>0</v>
      </c>
      <c r="M273" s="7">
        <f>0+[1]táj.2!M273</f>
        <v>0</v>
      </c>
      <c r="N273" s="7">
        <f>0+[1]táj.2!N273</f>
        <v>0</v>
      </c>
      <c r="O273" s="7">
        <f>0+[1]táj.2!O273</f>
        <v>0</v>
      </c>
      <c r="P273" s="7">
        <f>0+[1]táj.2!P273</f>
        <v>0</v>
      </c>
      <c r="Q273" s="7">
        <f t="shared" si="18"/>
        <v>0</v>
      </c>
    </row>
    <row r="274" spans="1:17" ht="15" customHeight="1" x14ac:dyDescent="0.2">
      <c r="A274" s="162"/>
      <c r="B274" s="162"/>
      <c r="C274" s="178"/>
      <c r="D274" s="247" t="s">
        <v>796</v>
      </c>
      <c r="E274" s="171">
        <v>2</v>
      </c>
      <c r="F274" s="171">
        <v>151404</v>
      </c>
      <c r="G274" s="7">
        <f>0+[1]táj.2!G274</f>
        <v>0</v>
      </c>
      <c r="H274" s="7">
        <f>0+[1]táj.2!H274</f>
        <v>0</v>
      </c>
      <c r="I274" s="7">
        <f>6015+[1]táj.2!I274</f>
        <v>6015</v>
      </c>
      <c r="J274" s="7">
        <f>0+[1]táj.2!J274</f>
        <v>0</v>
      </c>
      <c r="K274" s="7">
        <f>0+[1]táj.2!K274</f>
        <v>0</v>
      </c>
      <c r="L274" s="7">
        <f>0+[1]táj.2!L274</f>
        <v>0</v>
      </c>
      <c r="M274" s="7">
        <f>0+[1]táj.2!M274</f>
        <v>0</v>
      </c>
      <c r="N274" s="7">
        <f>0+[1]táj.2!N274</f>
        <v>0</v>
      </c>
      <c r="O274" s="7">
        <f>0+[1]táj.2!O274</f>
        <v>0</v>
      </c>
      <c r="P274" s="7">
        <f>0+[1]táj.2!P274</f>
        <v>0</v>
      </c>
      <c r="Q274" s="7">
        <f t="shared" si="18"/>
        <v>6015</v>
      </c>
    </row>
    <row r="275" spans="1:17" ht="15" customHeight="1" x14ac:dyDescent="0.2">
      <c r="A275" s="162"/>
      <c r="B275" s="162"/>
      <c r="C275" s="178"/>
      <c r="D275" s="260" t="s">
        <v>797</v>
      </c>
      <c r="E275" s="171">
        <v>2</v>
      </c>
      <c r="F275" s="171">
        <v>151408</v>
      </c>
      <c r="G275" s="7">
        <f>0+[1]táj.2!G275</f>
        <v>0</v>
      </c>
      <c r="H275" s="7">
        <f>0+[1]táj.2!H275</f>
        <v>0</v>
      </c>
      <c r="I275" s="7">
        <f>2000+[1]táj.2!I275</f>
        <v>2000</v>
      </c>
      <c r="J275" s="7">
        <f>0+[1]táj.2!J275</f>
        <v>0</v>
      </c>
      <c r="K275" s="7">
        <f>0+[1]táj.2!K275</f>
        <v>0</v>
      </c>
      <c r="L275" s="7">
        <f>0+[1]táj.2!L275</f>
        <v>0</v>
      </c>
      <c r="M275" s="7">
        <f>0+[1]táj.2!M275</f>
        <v>0</v>
      </c>
      <c r="N275" s="7">
        <f>0+[1]táj.2!N275</f>
        <v>0</v>
      </c>
      <c r="O275" s="7">
        <f>0+[1]táj.2!O275</f>
        <v>0</v>
      </c>
      <c r="P275" s="7">
        <f>0+[1]táj.2!P275</f>
        <v>0</v>
      </c>
      <c r="Q275" s="7">
        <f t="shared" si="18"/>
        <v>2000</v>
      </c>
    </row>
    <row r="276" spans="1:17" ht="15" customHeight="1" x14ac:dyDescent="0.2">
      <c r="A276" s="162"/>
      <c r="B276" s="162"/>
      <c r="C276" s="178"/>
      <c r="D276" s="260" t="s">
        <v>798</v>
      </c>
      <c r="E276" s="171">
        <v>1</v>
      </c>
      <c r="F276" s="171">
        <v>151409</v>
      </c>
      <c r="G276" s="7">
        <f>0+[1]táj.2!G276</f>
        <v>0</v>
      </c>
      <c r="H276" s="7">
        <f>0+[1]táj.2!H276</f>
        <v>0</v>
      </c>
      <c r="I276" s="7">
        <f>1000+[1]táj.2!I276</f>
        <v>0</v>
      </c>
      <c r="J276" s="7">
        <f>0+[1]táj.2!J276</f>
        <v>0</v>
      </c>
      <c r="K276" s="7">
        <f>0+[1]táj.2!K276</f>
        <v>0</v>
      </c>
      <c r="L276" s="7">
        <f>0+[1]táj.2!L276</f>
        <v>0</v>
      </c>
      <c r="M276" s="7">
        <f>0+[1]táj.2!M276</f>
        <v>0</v>
      </c>
      <c r="N276" s="7">
        <f>0+[1]táj.2!N276</f>
        <v>0</v>
      </c>
      <c r="O276" s="7">
        <f>0+[1]táj.2!O276</f>
        <v>0</v>
      </c>
      <c r="P276" s="7">
        <f>0+[1]táj.2!P276</f>
        <v>0</v>
      </c>
      <c r="Q276" s="7">
        <f t="shared" si="18"/>
        <v>0</v>
      </c>
    </row>
    <row r="277" spans="1:17" ht="15" customHeight="1" x14ac:dyDescent="0.2">
      <c r="A277" s="162"/>
      <c r="B277" s="162"/>
      <c r="C277" s="178"/>
      <c r="D277" s="261" t="s">
        <v>799</v>
      </c>
      <c r="E277" s="171">
        <v>2</v>
      </c>
      <c r="F277" s="171">
        <v>151418</v>
      </c>
      <c r="G277" s="7">
        <f>0+[1]táj.2!G277</f>
        <v>0</v>
      </c>
      <c r="H277" s="7">
        <f>0+[1]táj.2!H277</f>
        <v>0</v>
      </c>
      <c r="I277" s="7">
        <f>500+[1]táj.2!I277</f>
        <v>0</v>
      </c>
      <c r="J277" s="7">
        <f>0+[1]táj.2!J277</f>
        <v>0</v>
      </c>
      <c r="K277" s="7">
        <f>0+[1]táj.2!K277</f>
        <v>0</v>
      </c>
      <c r="L277" s="7">
        <f>0+[1]táj.2!L277</f>
        <v>0</v>
      </c>
      <c r="M277" s="7">
        <f>0+[1]táj.2!M277</f>
        <v>0</v>
      </c>
      <c r="N277" s="7">
        <f>0+[1]táj.2!N277</f>
        <v>0</v>
      </c>
      <c r="O277" s="7">
        <f>0+[1]táj.2!O277</f>
        <v>0</v>
      </c>
      <c r="P277" s="7">
        <f>0+[1]táj.2!P277</f>
        <v>0</v>
      </c>
      <c r="Q277" s="7">
        <f t="shared" si="18"/>
        <v>0</v>
      </c>
    </row>
    <row r="278" spans="1:17" ht="15" customHeight="1" x14ac:dyDescent="0.2">
      <c r="A278" s="162"/>
      <c r="B278" s="162"/>
      <c r="C278" s="178"/>
      <c r="D278" s="247" t="s">
        <v>800</v>
      </c>
      <c r="E278" s="171"/>
      <c r="F278" s="171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24" customHeight="1" x14ac:dyDescent="0.2">
      <c r="A279" s="162"/>
      <c r="B279" s="162"/>
      <c r="C279" s="178"/>
      <c r="D279" s="141" t="s">
        <v>801</v>
      </c>
      <c r="E279" s="196">
        <v>1</v>
      </c>
      <c r="F279" s="25">
        <v>191129</v>
      </c>
      <c r="G279" s="7">
        <f>0+[1]táj.2!G279</f>
        <v>0</v>
      </c>
      <c r="H279" s="7">
        <f>0+[1]táj.2!H279</f>
        <v>0</v>
      </c>
      <c r="I279" s="7">
        <f>0+[1]táj.2!I279</f>
        <v>0</v>
      </c>
      <c r="J279" s="7">
        <f>0+[1]táj.2!J279</f>
        <v>0</v>
      </c>
      <c r="K279" s="7">
        <f>385622+[1]táj.2!K279</f>
        <v>385622</v>
      </c>
      <c r="L279" s="7">
        <f>0+[1]táj.2!L279</f>
        <v>0</v>
      </c>
      <c r="M279" s="7">
        <f>0+[1]táj.2!M279</f>
        <v>0</v>
      </c>
      <c r="N279" s="7">
        <f>0+[1]táj.2!N279</f>
        <v>0</v>
      </c>
      <c r="O279" s="7">
        <f>0+[1]táj.2!O279</f>
        <v>0</v>
      </c>
      <c r="P279" s="7">
        <f>0+[1]táj.2!P279</f>
        <v>0</v>
      </c>
      <c r="Q279" s="7">
        <f>SUM(G279:P279)</f>
        <v>385622</v>
      </c>
    </row>
    <row r="280" spans="1:17" ht="14.25" customHeight="1" x14ac:dyDescent="0.2">
      <c r="A280" s="162"/>
      <c r="B280" s="162"/>
      <c r="C280" s="178"/>
      <c r="D280" s="258" t="s">
        <v>802</v>
      </c>
      <c r="E280" s="171"/>
      <c r="F280" s="171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15" customHeight="1" x14ac:dyDescent="0.2">
      <c r="A281" s="7"/>
      <c r="B281" s="7"/>
      <c r="C281" s="7"/>
      <c r="D281" s="247" t="s">
        <v>803</v>
      </c>
      <c r="E281" s="7">
        <v>1</v>
      </c>
      <c r="F281" s="7">
        <v>151102</v>
      </c>
      <c r="G281" s="7">
        <f>0+[1]táj.2!G281</f>
        <v>0</v>
      </c>
      <c r="H281" s="7">
        <f>0+[1]táj.2!H281</f>
        <v>0</v>
      </c>
      <c r="I281" s="7">
        <f>2550+[1]táj.2!I281</f>
        <v>2550</v>
      </c>
      <c r="J281" s="7">
        <f>0+[1]táj.2!J281</f>
        <v>0</v>
      </c>
      <c r="K281" s="7">
        <f>0+[1]táj.2!K281</f>
        <v>0</v>
      </c>
      <c r="L281" s="7">
        <f>0+[1]táj.2!L281</f>
        <v>0</v>
      </c>
      <c r="M281" s="7">
        <f>0+[1]táj.2!M281</f>
        <v>0</v>
      </c>
      <c r="N281" s="7">
        <f>0+[1]táj.2!N281</f>
        <v>0</v>
      </c>
      <c r="O281" s="7">
        <f>0+[1]táj.2!O281</f>
        <v>0</v>
      </c>
      <c r="P281" s="7">
        <f>0+[1]táj.2!P281</f>
        <v>0</v>
      </c>
      <c r="Q281" s="7">
        <f>SUM(G281:P281)</f>
        <v>2550</v>
      </c>
    </row>
    <row r="282" spans="1:17" ht="15" customHeight="1" x14ac:dyDescent="0.2">
      <c r="A282" s="162"/>
      <c r="B282" s="162"/>
      <c r="C282" s="178"/>
      <c r="D282" s="247" t="s">
        <v>804</v>
      </c>
      <c r="E282" s="7">
        <v>1</v>
      </c>
      <c r="F282" s="7">
        <v>151103</v>
      </c>
      <c r="G282" s="7">
        <f>0+[1]táj.2!G282</f>
        <v>0</v>
      </c>
      <c r="H282" s="7">
        <f>0+[1]táj.2!H282</f>
        <v>0</v>
      </c>
      <c r="I282" s="7">
        <f>2801+[1]táj.2!I282</f>
        <v>2801</v>
      </c>
      <c r="J282" s="7">
        <f>0+[1]táj.2!J282</f>
        <v>0</v>
      </c>
      <c r="K282" s="7">
        <f>0+[1]táj.2!K282</f>
        <v>0</v>
      </c>
      <c r="L282" s="7">
        <f>0+[1]táj.2!L282</f>
        <v>0</v>
      </c>
      <c r="M282" s="7">
        <f>0+[1]táj.2!M282</f>
        <v>0</v>
      </c>
      <c r="N282" s="7">
        <f>0+[1]táj.2!N282</f>
        <v>0</v>
      </c>
      <c r="O282" s="7">
        <f>0+[1]táj.2!O282</f>
        <v>0</v>
      </c>
      <c r="P282" s="7">
        <f>0+[1]táj.2!P282</f>
        <v>0</v>
      </c>
      <c r="Q282" s="7">
        <f>SUM(G282:P282)</f>
        <v>2801</v>
      </c>
    </row>
    <row r="283" spans="1:17" ht="15" customHeight="1" x14ac:dyDescent="0.2">
      <c r="A283" s="162"/>
      <c r="B283" s="162"/>
      <c r="C283" s="178"/>
      <c r="D283" s="247" t="s">
        <v>805</v>
      </c>
      <c r="E283" s="7">
        <v>1</v>
      </c>
      <c r="F283" s="7">
        <v>151105</v>
      </c>
      <c r="G283" s="7">
        <f>0+[1]táj.2!G283</f>
        <v>0</v>
      </c>
      <c r="H283" s="7">
        <f>0+[1]táj.2!H283</f>
        <v>0</v>
      </c>
      <c r="I283" s="7">
        <f>5000+[1]táj.2!I283</f>
        <v>1500</v>
      </c>
      <c r="J283" s="7">
        <f>0+[1]táj.2!J283</f>
        <v>0</v>
      </c>
      <c r="K283" s="7">
        <f>0+[1]táj.2!K283</f>
        <v>0</v>
      </c>
      <c r="L283" s="7">
        <f>0+[1]táj.2!L283</f>
        <v>0</v>
      </c>
      <c r="M283" s="7">
        <f>0+[1]táj.2!M283</f>
        <v>0</v>
      </c>
      <c r="N283" s="7">
        <f>0+[1]táj.2!N283</f>
        <v>0</v>
      </c>
      <c r="O283" s="7">
        <f>0+[1]táj.2!O283</f>
        <v>0</v>
      </c>
      <c r="P283" s="7">
        <f>0+[1]táj.2!P283</f>
        <v>0</v>
      </c>
      <c r="Q283" s="7">
        <f>SUM(G283:P283)</f>
        <v>1500</v>
      </c>
    </row>
    <row r="284" spans="1:17" ht="15" customHeight="1" x14ac:dyDescent="0.2">
      <c r="A284" s="162"/>
      <c r="B284" s="162"/>
      <c r="C284" s="178"/>
      <c r="D284" s="247" t="s">
        <v>806</v>
      </c>
      <c r="E284" s="171"/>
      <c r="F284" s="171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15" customHeight="1" x14ac:dyDescent="0.2">
      <c r="A285" s="162"/>
      <c r="B285" s="162"/>
      <c r="C285" s="178"/>
      <c r="D285" s="258" t="s">
        <v>807</v>
      </c>
      <c r="E285" s="171">
        <v>1</v>
      </c>
      <c r="F285" s="7">
        <v>151301</v>
      </c>
      <c r="G285" s="7">
        <f>0+[1]táj.2!G285</f>
        <v>0</v>
      </c>
      <c r="H285" s="7">
        <f>0+[1]táj.2!H285</f>
        <v>0</v>
      </c>
      <c r="I285" s="7">
        <f>18667+[1]táj.2!I285</f>
        <v>18467</v>
      </c>
      <c r="J285" s="7">
        <f>0+[1]táj.2!J285</f>
        <v>0</v>
      </c>
      <c r="K285" s="7">
        <f>0+[1]táj.2!K285</f>
        <v>0</v>
      </c>
      <c r="L285" s="7">
        <f>0+[1]táj.2!L285</f>
        <v>0</v>
      </c>
      <c r="M285" s="7">
        <f>0+[1]táj.2!M285</f>
        <v>0</v>
      </c>
      <c r="N285" s="7">
        <f>0+[1]táj.2!N285</f>
        <v>0</v>
      </c>
      <c r="O285" s="7">
        <f>0+[1]táj.2!O285</f>
        <v>0</v>
      </c>
      <c r="P285" s="7">
        <f>0+[1]táj.2!P285</f>
        <v>0</v>
      </c>
      <c r="Q285" s="7">
        <f t="shared" ref="Q285:Q300" si="19">SUM(G285:P285)</f>
        <v>18467</v>
      </c>
    </row>
    <row r="286" spans="1:17" ht="15" customHeight="1" x14ac:dyDescent="0.2">
      <c r="A286" s="162"/>
      <c r="B286" s="162"/>
      <c r="C286" s="178"/>
      <c r="D286" s="258" t="s">
        <v>808</v>
      </c>
      <c r="E286" s="171">
        <v>1</v>
      </c>
      <c r="F286" s="7">
        <v>151310</v>
      </c>
      <c r="G286" s="7">
        <f>0+[1]táj.2!G286</f>
        <v>0</v>
      </c>
      <c r="H286" s="7">
        <f>0+[1]táj.2!H286</f>
        <v>0</v>
      </c>
      <c r="I286" s="7">
        <f>15387+[1]táj.2!I286</f>
        <v>15387</v>
      </c>
      <c r="J286" s="7">
        <f>0+[1]táj.2!J286</f>
        <v>0</v>
      </c>
      <c r="K286" s="7">
        <f>0+[1]táj.2!K286</f>
        <v>0</v>
      </c>
      <c r="L286" s="7">
        <f>0+[1]táj.2!L286</f>
        <v>0</v>
      </c>
      <c r="M286" s="7">
        <f>0+[1]táj.2!M286</f>
        <v>0</v>
      </c>
      <c r="N286" s="7">
        <f>0+[1]táj.2!N286</f>
        <v>0</v>
      </c>
      <c r="O286" s="7">
        <f>0+[1]táj.2!O286</f>
        <v>0</v>
      </c>
      <c r="P286" s="7">
        <f>0+[1]táj.2!P286</f>
        <v>0</v>
      </c>
      <c r="Q286" s="7">
        <f t="shared" si="19"/>
        <v>15387</v>
      </c>
    </row>
    <row r="287" spans="1:17" ht="15" customHeight="1" x14ac:dyDescent="0.2">
      <c r="A287" s="162"/>
      <c r="B287" s="162"/>
      <c r="C287" s="178"/>
      <c r="D287" s="258" t="s">
        <v>809</v>
      </c>
      <c r="E287" s="171">
        <v>1</v>
      </c>
      <c r="F287" s="7">
        <v>151313</v>
      </c>
      <c r="G287" s="7">
        <f>0+[1]táj.2!G287</f>
        <v>0</v>
      </c>
      <c r="H287" s="7">
        <f>0+[1]táj.2!H287</f>
        <v>0</v>
      </c>
      <c r="I287" s="7">
        <f>15166+[1]táj.2!I287</f>
        <v>15166</v>
      </c>
      <c r="J287" s="7">
        <f>0+[1]táj.2!J287</f>
        <v>0</v>
      </c>
      <c r="K287" s="7">
        <f>0+[1]táj.2!K287</f>
        <v>0</v>
      </c>
      <c r="L287" s="7">
        <f>0+[1]táj.2!L287</f>
        <v>0</v>
      </c>
      <c r="M287" s="7">
        <f>0+[1]táj.2!M287</f>
        <v>0</v>
      </c>
      <c r="N287" s="7">
        <f>0+[1]táj.2!N287</f>
        <v>0</v>
      </c>
      <c r="O287" s="7">
        <f>0+[1]táj.2!O287</f>
        <v>0</v>
      </c>
      <c r="P287" s="7">
        <f>0+[1]táj.2!P287</f>
        <v>0</v>
      </c>
      <c r="Q287" s="7">
        <f t="shared" si="19"/>
        <v>15166</v>
      </c>
    </row>
    <row r="288" spans="1:17" ht="15" customHeight="1" x14ac:dyDescent="0.2">
      <c r="A288" s="162"/>
      <c r="B288" s="162"/>
      <c r="C288" s="178"/>
      <c r="D288" s="258" t="s">
        <v>810</v>
      </c>
      <c r="E288" s="171">
        <v>1</v>
      </c>
      <c r="F288" s="7">
        <v>151314</v>
      </c>
      <c r="G288" s="7">
        <f>0+[1]táj.2!G288</f>
        <v>0</v>
      </c>
      <c r="H288" s="7">
        <f>0+[1]táj.2!H288</f>
        <v>0</v>
      </c>
      <c r="I288" s="7">
        <f>36499+[1]táj.2!I288</f>
        <v>36499</v>
      </c>
      <c r="J288" s="7">
        <f>0+[1]táj.2!J288</f>
        <v>0</v>
      </c>
      <c r="K288" s="7">
        <f>0+[1]táj.2!K288</f>
        <v>0</v>
      </c>
      <c r="L288" s="7">
        <f>0+[1]táj.2!L288</f>
        <v>0</v>
      </c>
      <c r="M288" s="7">
        <f>0+[1]táj.2!M288</f>
        <v>0</v>
      </c>
      <c r="N288" s="7">
        <f>0+[1]táj.2!N288</f>
        <v>0</v>
      </c>
      <c r="O288" s="7">
        <f>0+[1]táj.2!O288</f>
        <v>0</v>
      </c>
      <c r="P288" s="7">
        <f>0+[1]táj.2!P288</f>
        <v>0</v>
      </c>
      <c r="Q288" s="7">
        <f t="shared" si="19"/>
        <v>36499</v>
      </c>
    </row>
    <row r="289" spans="1:17" ht="15" customHeight="1" x14ac:dyDescent="0.2">
      <c r="A289" s="162"/>
      <c r="B289" s="162"/>
      <c r="C289" s="178"/>
      <c r="D289" s="258" t="s">
        <v>811</v>
      </c>
      <c r="E289" s="171">
        <v>1</v>
      </c>
      <c r="F289" s="7">
        <v>151320</v>
      </c>
      <c r="G289" s="7">
        <f>0+[1]táj.2!G289</f>
        <v>0</v>
      </c>
      <c r="H289" s="7">
        <f>0+[1]táj.2!H289</f>
        <v>0</v>
      </c>
      <c r="I289" s="7">
        <f>7000+[1]táj.2!I289</f>
        <v>3500</v>
      </c>
      <c r="J289" s="7">
        <f>0+[1]táj.2!J289</f>
        <v>0</v>
      </c>
      <c r="K289" s="7">
        <f>0+[1]táj.2!K289</f>
        <v>0</v>
      </c>
      <c r="L289" s="7">
        <f>0+[1]táj.2!L289</f>
        <v>0</v>
      </c>
      <c r="M289" s="7">
        <f>0+[1]táj.2!M289</f>
        <v>0</v>
      </c>
      <c r="N289" s="7">
        <f>0+[1]táj.2!N289</f>
        <v>0</v>
      </c>
      <c r="O289" s="7">
        <f>0+[1]táj.2!O289</f>
        <v>0</v>
      </c>
      <c r="P289" s="7">
        <f>0+[1]táj.2!P289</f>
        <v>0</v>
      </c>
      <c r="Q289" s="7">
        <f t="shared" si="19"/>
        <v>3500</v>
      </c>
    </row>
    <row r="290" spans="1:17" ht="15" customHeight="1" x14ac:dyDescent="0.2">
      <c r="A290" s="162"/>
      <c r="B290" s="162"/>
      <c r="C290" s="178"/>
      <c r="D290" s="258" t="s">
        <v>812</v>
      </c>
      <c r="E290" s="171">
        <v>1</v>
      </c>
      <c r="F290" s="7">
        <v>151317</v>
      </c>
      <c r="G290" s="7">
        <f>0+[1]táj.2!G290</f>
        <v>0</v>
      </c>
      <c r="H290" s="7">
        <f>0+[1]táj.2!H290</f>
        <v>0</v>
      </c>
      <c r="I290" s="7">
        <f>16718+[1]táj.2!I290</f>
        <v>16718</v>
      </c>
      <c r="J290" s="7">
        <f>0+[1]táj.2!J290</f>
        <v>0</v>
      </c>
      <c r="K290" s="7">
        <f>0+[1]táj.2!K290</f>
        <v>0</v>
      </c>
      <c r="L290" s="7">
        <f>0+[1]táj.2!L290</f>
        <v>0</v>
      </c>
      <c r="M290" s="7">
        <f>0+[1]táj.2!M290</f>
        <v>0</v>
      </c>
      <c r="N290" s="7">
        <f>0+[1]táj.2!N290</f>
        <v>0</v>
      </c>
      <c r="O290" s="7">
        <f>0+[1]táj.2!O290</f>
        <v>0</v>
      </c>
      <c r="P290" s="7">
        <f>0+[1]táj.2!P290</f>
        <v>0</v>
      </c>
      <c r="Q290" s="7">
        <f t="shared" si="19"/>
        <v>16718</v>
      </c>
    </row>
    <row r="291" spans="1:17" ht="19.5" customHeight="1" x14ac:dyDescent="0.2">
      <c r="A291" s="162"/>
      <c r="B291" s="162"/>
      <c r="C291" s="178"/>
      <c r="D291" s="141" t="s">
        <v>813</v>
      </c>
      <c r="E291" s="171">
        <v>1</v>
      </c>
      <c r="F291" s="7">
        <v>151306</v>
      </c>
      <c r="G291" s="7">
        <f>0+[1]táj.2!G291</f>
        <v>0</v>
      </c>
      <c r="H291" s="7">
        <f>0+[1]táj.2!H291</f>
        <v>0</v>
      </c>
      <c r="I291" s="7">
        <f>9226+[1]táj.2!I291</f>
        <v>9226</v>
      </c>
      <c r="J291" s="7">
        <f>0+[1]táj.2!J291</f>
        <v>0</v>
      </c>
      <c r="K291" s="7">
        <f>0+[1]táj.2!K291</f>
        <v>0</v>
      </c>
      <c r="L291" s="7">
        <f>0+[1]táj.2!L291</f>
        <v>0</v>
      </c>
      <c r="M291" s="7">
        <f>0+[1]táj.2!M291</f>
        <v>0</v>
      </c>
      <c r="N291" s="7">
        <f>0+[1]táj.2!N291</f>
        <v>0</v>
      </c>
      <c r="O291" s="7">
        <f>0+[1]táj.2!O291</f>
        <v>0</v>
      </c>
      <c r="P291" s="7">
        <f>0+[1]táj.2!P291</f>
        <v>0</v>
      </c>
      <c r="Q291" s="7">
        <f t="shared" si="19"/>
        <v>9226</v>
      </c>
    </row>
    <row r="292" spans="1:17" ht="36" customHeight="1" x14ac:dyDescent="0.2">
      <c r="A292" s="162"/>
      <c r="B292" s="162"/>
      <c r="C292" s="178"/>
      <c r="D292" s="141" t="s">
        <v>814</v>
      </c>
      <c r="E292" s="171">
        <v>1</v>
      </c>
      <c r="F292" s="7">
        <v>151307</v>
      </c>
      <c r="G292" s="7">
        <f>0+[1]táj.2!G292</f>
        <v>0</v>
      </c>
      <c r="H292" s="7">
        <f>0+[1]táj.2!H292</f>
        <v>0</v>
      </c>
      <c r="I292" s="7">
        <f>12566+[1]táj.2!I292</f>
        <v>13052</v>
      </c>
      <c r="J292" s="7">
        <f>0+[1]táj.2!J292</f>
        <v>0</v>
      </c>
      <c r="K292" s="7">
        <f>0+[1]táj.2!K292</f>
        <v>0</v>
      </c>
      <c r="L292" s="7">
        <f>0+[1]táj.2!L292</f>
        <v>0</v>
      </c>
      <c r="M292" s="7">
        <f>0+[1]táj.2!M292</f>
        <v>0</v>
      </c>
      <c r="N292" s="7">
        <f>0+[1]táj.2!N292</f>
        <v>0</v>
      </c>
      <c r="O292" s="7">
        <f>0+[1]táj.2!O292</f>
        <v>0</v>
      </c>
      <c r="P292" s="7">
        <f>0+[1]táj.2!P292</f>
        <v>0</v>
      </c>
      <c r="Q292" s="7">
        <f t="shared" si="19"/>
        <v>13052</v>
      </c>
    </row>
    <row r="293" spans="1:17" ht="24" customHeight="1" x14ac:dyDescent="0.2">
      <c r="A293" s="162"/>
      <c r="B293" s="162"/>
      <c r="C293" s="178"/>
      <c r="D293" s="141" t="s">
        <v>815</v>
      </c>
      <c r="E293" s="171">
        <v>1</v>
      </c>
      <c r="F293" s="7">
        <v>151308</v>
      </c>
      <c r="G293" s="7">
        <f>0+[1]táj.2!G293</f>
        <v>0</v>
      </c>
      <c r="H293" s="7">
        <f>0+[1]táj.2!H293</f>
        <v>0</v>
      </c>
      <c r="I293" s="7">
        <f>1183+[1]táj.2!I293</f>
        <v>1183</v>
      </c>
      <c r="J293" s="7">
        <f>0+[1]táj.2!J293</f>
        <v>0</v>
      </c>
      <c r="K293" s="7">
        <f>0+[1]táj.2!K293</f>
        <v>0</v>
      </c>
      <c r="L293" s="7">
        <f>0+[1]táj.2!L293</f>
        <v>0</v>
      </c>
      <c r="M293" s="7">
        <f>0+[1]táj.2!M293</f>
        <v>0</v>
      </c>
      <c r="N293" s="7">
        <f>0+[1]táj.2!N293</f>
        <v>0</v>
      </c>
      <c r="O293" s="7">
        <f>0+[1]táj.2!O293</f>
        <v>0</v>
      </c>
      <c r="P293" s="7">
        <f>0+[1]táj.2!P293</f>
        <v>0</v>
      </c>
      <c r="Q293" s="7">
        <f t="shared" si="19"/>
        <v>1183</v>
      </c>
    </row>
    <row r="294" spans="1:17" ht="24" customHeight="1" x14ac:dyDescent="0.2">
      <c r="A294" s="162"/>
      <c r="B294" s="162"/>
      <c r="C294" s="178"/>
      <c r="D294" s="141" t="s">
        <v>816</v>
      </c>
      <c r="E294" s="196">
        <v>1</v>
      </c>
      <c r="F294" s="25">
        <v>151311</v>
      </c>
      <c r="G294" s="7">
        <f>0+[1]táj.2!G294</f>
        <v>0</v>
      </c>
      <c r="H294" s="7">
        <f>0+[1]táj.2!H294</f>
        <v>0</v>
      </c>
      <c r="I294" s="7">
        <f>1000+[1]táj.2!I294</f>
        <v>1000</v>
      </c>
      <c r="J294" s="7">
        <f>0+[1]táj.2!J294</f>
        <v>0</v>
      </c>
      <c r="K294" s="7">
        <f>0+[1]táj.2!K294</f>
        <v>0</v>
      </c>
      <c r="L294" s="7">
        <f>0+[1]táj.2!L294</f>
        <v>0</v>
      </c>
      <c r="M294" s="7">
        <f>0+[1]táj.2!M294</f>
        <v>0</v>
      </c>
      <c r="N294" s="7">
        <f>0+[1]táj.2!N294</f>
        <v>0</v>
      </c>
      <c r="O294" s="7">
        <f>0+[1]táj.2!O294</f>
        <v>0</v>
      </c>
      <c r="P294" s="7">
        <f>0+[1]táj.2!P294</f>
        <v>0</v>
      </c>
      <c r="Q294" s="7">
        <f t="shared" si="19"/>
        <v>1000</v>
      </c>
    </row>
    <row r="295" spans="1:17" ht="15" customHeight="1" x14ac:dyDescent="0.2">
      <c r="A295" s="162"/>
      <c r="B295" s="162"/>
      <c r="C295" s="178"/>
      <c r="D295" s="247" t="s">
        <v>817</v>
      </c>
      <c r="E295" s="171">
        <v>1</v>
      </c>
      <c r="F295" s="7">
        <v>151312</v>
      </c>
      <c r="G295" s="7">
        <f>0+[1]táj.2!G295</f>
        <v>0</v>
      </c>
      <c r="H295" s="7">
        <f>0+[1]táj.2!H295</f>
        <v>0</v>
      </c>
      <c r="I295" s="7">
        <f>500+[1]táj.2!I295</f>
        <v>500</v>
      </c>
      <c r="J295" s="7">
        <f>0+[1]táj.2!J295</f>
        <v>0</v>
      </c>
      <c r="K295" s="7">
        <f>0+[1]táj.2!K295</f>
        <v>0</v>
      </c>
      <c r="L295" s="7">
        <f>0+[1]táj.2!L295</f>
        <v>0</v>
      </c>
      <c r="M295" s="7">
        <f>0+[1]táj.2!M295</f>
        <v>0</v>
      </c>
      <c r="N295" s="7">
        <f>0+[1]táj.2!N295</f>
        <v>0</v>
      </c>
      <c r="O295" s="7">
        <f>0+[1]táj.2!O295</f>
        <v>0</v>
      </c>
      <c r="P295" s="7">
        <f>0+[1]táj.2!P295</f>
        <v>0</v>
      </c>
      <c r="Q295" s="7">
        <f t="shared" si="19"/>
        <v>500</v>
      </c>
    </row>
    <row r="296" spans="1:17" ht="17.25" customHeight="1" x14ac:dyDescent="0.2">
      <c r="A296" s="162"/>
      <c r="B296" s="162"/>
      <c r="C296" s="178"/>
      <c r="D296" s="141" t="s">
        <v>818</v>
      </c>
      <c r="E296" s="171">
        <v>1</v>
      </c>
      <c r="F296" s="7">
        <v>151302</v>
      </c>
      <c r="G296" s="7">
        <f>0+[1]táj.2!G296</f>
        <v>0</v>
      </c>
      <c r="H296" s="7">
        <f>0+[1]táj.2!H296</f>
        <v>0</v>
      </c>
      <c r="I296" s="7">
        <f>2000+[1]táj.2!I296</f>
        <v>2000</v>
      </c>
      <c r="J296" s="7">
        <f>0+[1]táj.2!J296</f>
        <v>0</v>
      </c>
      <c r="K296" s="7">
        <f>0+[1]táj.2!K296</f>
        <v>0</v>
      </c>
      <c r="L296" s="7">
        <f>0+[1]táj.2!L296</f>
        <v>0</v>
      </c>
      <c r="M296" s="7">
        <f>0+[1]táj.2!M296</f>
        <v>0</v>
      </c>
      <c r="N296" s="7">
        <f>0+[1]táj.2!N296</f>
        <v>0</v>
      </c>
      <c r="O296" s="7">
        <f>0+[1]táj.2!O296</f>
        <v>0</v>
      </c>
      <c r="P296" s="7">
        <f>0+[1]táj.2!P296</f>
        <v>0</v>
      </c>
      <c r="Q296" s="7">
        <f t="shared" si="19"/>
        <v>2000</v>
      </c>
    </row>
    <row r="297" spans="1:17" ht="25.5" customHeight="1" x14ac:dyDescent="0.2">
      <c r="A297" s="162"/>
      <c r="B297" s="162"/>
      <c r="C297" s="178"/>
      <c r="D297" s="139" t="s">
        <v>819</v>
      </c>
      <c r="E297" s="171">
        <v>1</v>
      </c>
      <c r="F297" s="7">
        <v>151303</v>
      </c>
      <c r="G297" s="7">
        <f>0+[1]táj.2!G297</f>
        <v>0</v>
      </c>
      <c r="H297" s="7">
        <f>0+[1]táj.2!H297</f>
        <v>0</v>
      </c>
      <c r="I297" s="7">
        <f>1000+[1]táj.2!I297</f>
        <v>0</v>
      </c>
      <c r="J297" s="7">
        <f>0+[1]táj.2!J297</f>
        <v>0</v>
      </c>
      <c r="K297" s="7">
        <f>0+[1]táj.2!K297</f>
        <v>0</v>
      </c>
      <c r="L297" s="7">
        <f>0+[1]táj.2!L297</f>
        <v>0</v>
      </c>
      <c r="M297" s="7">
        <f>0+[1]táj.2!M297</f>
        <v>0</v>
      </c>
      <c r="N297" s="7">
        <f>0+[1]táj.2!N297</f>
        <v>0</v>
      </c>
      <c r="O297" s="7">
        <f>0+[1]táj.2!O297</f>
        <v>0</v>
      </c>
      <c r="P297" s="7">
        <f>0+[1]táj.2!P297</f>
        <v>0</v>
      </c>
      <c r="Q297" s="7">
        <f t="shared" si="19"/>
        <v>0</v>
      </c>
    </row>
    <row r="298" spans="1:17" ht="25.5" customHeight="1" x14ac:dyDescent="0.2">
      <c r="A298" s="162"/>
      <c r="B298" s="162"/>
      <c r="C298" s="178"/>
      <c r="D298" s="262" t="s">
        <v>820</v>
      </c>
      <c r="E298" s="263">
        <v>2</v>
      </c>
      <c r="F298" s="25">
        <v>151315</v>
      </c>
      <c r="G298" s="7">
        <f>0+[1]táj.2!G298</f>
        <v>0</v>
      </c>
      <c r="H298" s="7">
        <f>0+[1]táj.2!H298</f>
        <v>0</v>
      </c>
      <c r="I298" s="7">
        <f>1000+[1]táj.2!I298</f>
        <v>0</v>
      </c>
      <c r="J298" s="7">
        <f>0+[1]táj.2!J298</f>
        <v>0</v>
      </c>
      <c r="K298" s="7">
        <f>0+[1]táj.2!K298</f>
        <v>0</v>
      </c>
      <c r="L298" s="7">
        <f>0+[1]táj.2!L298</f>
        <v>0</v>
      </c>
      <c r="M298" s="7">
        <f>0+[1]táj.2!M298</f>
        <v>0</v>
      </c>
      <c r="N298" s="7">
        <f>0+[1]táj.2!N298</f>
        <v>0</v>
      </c>
      <c r="O298" s="7">
        <f>0+[1]táj.2!O298</f>
        <v>0</v>
      </c>
      <c r="P298" s="7">
        <f>0+[1]táj.2!P298</f>
        <v>0</v>
      </c>
      <c r="Q298" s="7">
        <f t="shared" si="19"/>
        <v>0</v>
      </c>
    </row>
    <row r="299" spans="1:17" ht="25.5" customHeight="1" x14ac:dyDescent="0.2">
      <c r="A299" s="162"/>
      <c r="B299" s="162"/>
      <c r="C299" s="178"/>
      <c r="D299" s="603" t="s">
        <v>1503</v>
      </c>
      <c r="E299" s="264">
        <v>1</v>
      </c>
      <c r="F299" s="25">
        <v>151321</v>
      </c>
      <c r="G299" s="7">
        <f>0+[1]táj.2!G299</f>
        <v>0</v>
      </c>
      <c r="H299" s="7">
        <f>0+[1]táj.2!H299</f>
        <v>0</v>
      </c>
      <c r="I299" s="7">
        <f>5000+[1]táj.2!I299</f>
        <v>3000</v>
      </c>
      <c r="J299" s="7">
        <f>0+[1]táj.2!J299</f>
        <v>0</v>
      </c>
      <c r="K299" s="7">
        <f>0+[1]táj.2!K299</f>
        <v>0</v>
      </c>
      <c r="L299" s="7">
        <f>0+[1]táj.2!L299</f>
        <v>0</v>
      </c>
      <c r="M299" s="7">
        <f>0+[1]táj.2!M299</f>
        <v>0</v>
      </c>
      <c r="N299" s="7">
        <f>0+[1]táj.2!N299</f>
        <v>0</v>
      </c>
      <c r="O299" s="7">
        <f>0+[1]táj.2!O299</f>
        <v>0</v>
      </c>
      <c r="P299" s="7">
        <f>0+[1]táj.2!P299</f>
        <v>0</v>
      </c>
      <c r="Q299" s="7">
        <f t="shared" si="19"/>
        <v>3000</v>
      </c>
    </row>
    <row r="300" spans="1:17" ht="25.5" customHeight="1" x14ac:dyDescent="0.2">
      <c r="A300" s="162"/>
      <c r="B300" s="162"/>
      <c r="C300" s="178"/>
      <c r="D300" s="141" t="s">
        <v>821</v>
      </c>
      <c r="E300" s="144">
        <v>1</v>
      </c>
      <c r="F300" s="25">
        <v>151319</v>
      </c>
      <c r="G300" s="7">
        <f>0+[1]táj.2!G300</f>
        <v>0</v>
      </c>
      <c r="H300" s="7">
        <f>0+[1]táj.2!H300</f>
        <v>0</v>
      </c>
      <c r="I300" s="7">
        <f>1399+[1]táj.2!I300</f>
        <v>1399</v>
      </c>
      <c r="J300" s="7">
        <f>0+[1]táj.2!J300</f>
        <v>0</v>
      </c>
      <c r="K300" s="7">
        <f>0+[1]táj.2!K300</f>
        <v>0</v>
      </c>
      <c r="L300" s="7">
        <f>0+[1]táj.2!L300</f>
        <v>0</v>
      </c>
      <c r="M300" s="7">
        <f>0+[1]táj.2!M300</f>
        <v>0</v>
      </c>
      <c r="N300" s="7">
        <f>0+[1]táj.2!N300</f>
        <v>0</v>
      </c>
      <c r="O300" s="7">
        <f>0+[1]táj.2!O300</f>
        <v>0</v>
      </c>
      <c r="P300" s="7">
        <f>0+[1]táj.2!P300</f>
        <v>0</v>
      </c>
      <c r="Q300" s="7">
        <f t="shared" si="19"/>
        <v>1399</v>
      </c>
    </row>
    <row r="301" spans="1:17" ht="24.95" customHeight="1" x14ac:dyDescent="0.2">
      <c r="A301" s="162"/>
      <c r="B301" s="162"/>
      <c r="C301" s="178"/>
      <c r="D301" s="141" t="s">
        <v>823</v>
      </c>
      <c r="E301" s="196"/>
      <c r="F301" s="19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4.1" customHeight="1" x14ac:dyDescent="0.2">
      <c r="A302" s="162"/>
      <c r="B302" s="162"/>
      <c r="C302" s="178"/>
      <c r="D302" s="247" t="s">
        <v>824</v>
      </c>
      <c r="E302" s="7">
        <v>1</v>
      </c>
      <c r="F302" s="7">
        <v>151703</v>
      </c>
      <c r="G302" s="7">
        <f>0+[1]táj.2!G302</f>
        <v>0</v>
      </c>
      <c r="H302" s="7">
        <f>0+[1]táj.2!H302</f>
        <v>0</v>
      </c>
      <c r="I302" s="7">
        <f>2000+[1]táj.2!I302</f>
        <v>2000</v>
      </c>
      <c r="J302" s="7">
        <f>0+[1]táj.2!J302</f>
        <v>0</v>
      </c>
      <c r="K302" s="7">
        <f>0+[1]táj.2!K302</f>
        <v>0</v>
      </c>
      <c r="L302" s="7">
        <f>0+[1]táj.2!L302</f>
        <v>0</v>
      </c>
      <c r="M302" s="7">
        <f>0+[1]táj.2!M302</f>
        <v>0</v>
      </c>
      <c r="N302" s="7">
        <f>0+[1]táj.2!N302</f>
        <v>0</v>
      </c>
      <c r="O302" s="7">
        <f>0+[1]táj.2!O302</f>
        <v>0</v>
      </c>
      <c r="P302" s="7">
        <f>0+[1]táj.2!P302</f>
        <v>0</v>
      </c>
      <c r="Q302" s="7">
        <f>SUM(G302:P302)</f>
        <v>2000</v>
      </c>
    </row>
    <row r="303" spans="1:17" ht="14.1" customHeight="1" x14ac:dyDescent="0.2">
      <c r="A303" s="162"/>
      <c r="B303" s="162"/>
      <c r="C303" s="178"/>
      <c r="D303" s="258" t="s">
        <v>438</v>
      </c>
      <c r="E303" s="171"/>
      <c r="F303" s="171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14.1" customHeight="1" x14ac:dyDescent="0.2">
      <c r="A304" s="162"/>
      <c r="B304" s="162"/>
      <c r="C304" s="178"/>
      <c r="D304" s="247" t="s">
        <v>825</v>
      </c>
      <c r="E304" s="7">
        <v>1</v>
      </c>
      <c r="F304" s="7">
        <v>151601</v>
      </c>
      <c r="G304" s="7">
        <f>0+[1]táj.2!G304</f>
        <v>0</v>
      </c>
      <c r="H304" s="7">
        <f>0+[1]táj.2!H304</f>
        <v>0</v>
      </c>
      <c r="I304" s="7">
        <f>16040+[1]táj.2!I304</f>
        <v>15249</v>
      </c>
      <c r="J304" s="7">
        <f>0+[1]táj.2!J304</f>
        <v>0</v>
      </c>
      <c r="K304" s="7">
        <f>0+[1]táj.2!K304</f>
        <v>0</v>
      </c>
      <c r="L304" s="7">
        <f>0+[1]táj.2!L304</f>
        <v>0</v>
      </c>
      <c r="M304" s="7">
        <f>0+[1]táj.2!M304</f>
        <v>0</v>
      </c>
      <c r="N304" s="7">
        <f>0+[1]táj.2!N304</f>
        <v>0</v>
      </c>
      <c r="O304" s="7">
        <f>0+[1]táj.2!O304</f>
        <v>0</v>
      </c>
      <c r="P304" s="7">
        <f>0+[1]táj.2!P304</f>
        <v>0</v>
      </c>
      <c r="Q304" s="7">
        <f t="shared" ref="Q304:Q321" si="20">SUM(G304:P304)</f>
        <v>15249</v>
      </c>
    </row>
    <row r="305" spans="1:17" ht="14.1" customHeight="1" x14ac:dyDescent="0.2">
      <c r="A305" s="162"/>
      <c r="B305" s="162"/>
      <c r="C305" s="178"/>
      <c r="D305" s="247" t="s">
        <v>826</v>
      </c>
      <c r="E305" s="7">
        <v>1</v>
      </c>
      <c r="F305" s="7">
        <v>151602</v>
      </c>
      <c r="G305" s="7">
        <f>0+[1]táj.2!G305</f>
        <v>0</v>
      </c>
      <c r="H305" s="7">
        <f>0+[1]táj.2!H305</f>
        <v>0</v>
      </c>
      <c r="I305" s="7">
        <f>0+[1]táj.2!I305</f>
        <v>0</v>
      </c>
      <c r="J305" s="7">
        <f>0+[1]táj.2!J305</f>
        <v>0</v>
      </c>
      <c r="K305" s="7">
        <f>19500+[1]táj.2!K305</f>
        <v>19500</v>
      </c>
      <c r="L305" s="7">
        <f>0+[1]táj.2!L305</f>
        <v>0</v>
      </c>
      <c r="M305" s="7">
        <f>0+[1]táj.2!M305</f>
        <v>0</v>
      </c>
      <c r="N305" s="7">
        <f>0+[1]táj.2!N305</f>
        <v>0</v>
      </c>
      <c r="O305" s="7">
        <f>0+[1]táj.2!O305</f>
        <v>0</v>
      </c>
      <c r="P305" s="7">
        <f>0+[1]táj.2!P305</f>
        <v>0</v>
      </c>
      <c r="Q305" s="7">
        <f t="shared" si="20"/>
        <v>19500</v>
      </c>
    </row>
    <row r="306" spans="1:17" ht="14.1" customHeight="1" x14ac:dyDescent="0.2">
      <c r="A306" s="162"/>
      <c r="B306" s="162"/>
      <c r="C306" s="178"/>
      <c r="D306" s="247" t="s">
        <v>827</v>
      </c>
      <c r="E306" s="7">
        <v>1</v>
      </c>
      <c r="F306" s="7">
        <v>151607</v>
      </c>
      <c r="G306" s="7">
        <f>0+[1]táj.2!G306</f>
        <v>0</v>
      </c>
      <c r="H306" s="7">
        <f>0+[1]táj.2!H306</f>
        <v>0</v>
      </c>
      <c r="I306" s="7">
        <f>19131+[1]táj.2!I306</f>
        <v>19221</v>
      </c>
      <c r="J306" s="7">
        <f>0+[1]táj.2!J306</f>
        <v>0</v>
      </c>
      <c r="K306" s="7">
        <f>415+[1]táj.2!K306</f>
        <v>415</v>
      </c>
      <c r="L306" s="7">
        <f>400+[1]táj.2!L306</f>
        <v>400</v>
      </c>
      <c r="M306" s="7">
        <f>0+[1]táj.2!M306</f>
        <v>0</v>
      </c>
      <c r="N306" s="7">
        <f>0+[1]táj.2!N306</f>
        <v>0</v>
      </c>
      <c r="O306" s="7">
        <f>0+[1]táj.2!O306</f>
        <v>0</v>
      </c>
      <c r="P306" s="7">
        <f>0+[1]táj.2!P306</f>
        <v>0</v>
      </c>
      <c r="Q306" s="7">
        <f t="shared" si="20"/>
        <v>20036</v>
      </c>
    </row>
    <row r="307" spans="1:17" ht="14.1" customHeight="1" x14ac:dyDescent="0.2">
      <c r="A307" s="162"/>
      <c r="B307" s="162"/>
      <c r="C307" s="178"/>
      <c r="D307" s="247" t="s">
        <v>828</v>
      </c>
      <c r="E307" s="7">
        <v>2</v>
      </c>
      <c r="F307" s="7">
        <v>151610</v>
      </c>
      <c r="G307" s="7">
        <f>0+[1]táj.2!G307</f>
        <v>0</v>
      </c>
      <c r="H307" s="7">
        <f>0+[1]táj.2!H307</f>
        <v>0</v>
      </c>
      <c r="I307" s="7">
        <f>850+[1]táj.2!I307</f>
        <v>0</v>
      </c>
      <c r="J307" s="7">
        <f>0+[1]táj.2!J307</f>
        <v>0</v>
      </c>
      <c r="K307" s="7">
        <f>150+[1]táj.2!K307</f>
        <v>0</v>
      </c>
      <c r="L307" s="7">
        <f>0+[1]táj.2!L307</f>
        <v>0</v>
      </c>
      <c r="M307" s="7">
        <f>0+[1]táj.2!M307</f>
        <v>0</v>
      </c>
      <c r="N307" s="7">
        <f>0+[1]táj.2!N307</f>
        <v>0</v>
      </c>
      <c r="O307" s="7">
        <f>0+[1]táj.2!O307</f>
        <v>0</v>
      </c>
      <c r="P307" s="7">
        <f>0+[1]táj.2!P307</f>
        <v>0</v>
      </c>
      <c r="Q307" s="7">
        <f t="shared" si="20"/>
        <v>0</v>
      </c>
    </row>
    <row r="308" spans="1:17" ht="24" customHeight="1" x14ac:dyDescent="0.2">
      <c r="A308" s="162" t="s">
        <v>207</v>
      </c>
      <c r="B308" s="162"/>
      <c r="C308" s="178"/>
      <c r="D308" s="141" t="s">
        <v>829</v>
      </c>
      <c r="E308" s="171">
        <v>2</v>
      </c>
      <c r="F308" s="7">
        <v>151619</v>
      </c>
      <c r="G308" s="7">
        <f>0+[1]táj.2!G308</f>
        <v>0</v>
      </c>
      <c r="H308" s="7">
        <f>0+[1]táj.2!H308</f>
        <v>0</v>
      </c>
      <c r="I308" s="7">
        <f>58736+[1]táj.2!I308</f>
        <v>58736</v>
      </c>
      <c r="J308" s="7">
        <f>0+[1]táj.2!J308</f>
        <v>0</v>
      </c>
      <c r="K308" s="7">
        <f>0+[1]táj.2!K308</f>
        <v>0</v>
      </c>
      <c r="L308" s="7">
        <f>0+[1]táj.2!L308</f>
        <v>0</v>
      </c>
      <c r="M308" s="7">
        <f>0+[1]táj.2!M308</f>
        <v>0</v>
      </c>
      <c r="N308" s="7">
        <f>0+[1]táj.2!N308</f>
        <v>0</v>
      </c>
      <c r="O308" s="7">
        <f>0+[1]táj.2!O308</f>
        <v>0</v>
      </c>
      <c r="P308" s="7">
        <f>0+[1]táj.2!P308</f>
        <v>0</v>
      </c>
      <c r="Q308" s="7">
        <f t="shared" si="20"/>
        <v>58736</v>
      </c>
    </row>
    <row r="309" spans="1:17" ht="14.1" customHeight="1" x14ac:dyDescent="0.2">
      <c r="A309" s="162"/>
      <c r="B309" s="162"/>
      <c r="C309" s="178"/>
      <c r="D309" s="258" t="s">
        <v>830</v>
      </c>
      <c r="E309" s="134">
        <v>2</v>
      </c>
      <c r="F309" s="7">
        <v>151626</v>
      </c>
      <c r="G309" s="7">
        <f>0+[1]táj.2!G309</f>
        <v>0</v>
      </c>
      <c r="H309" s="7">
        <f>0+[1]táj.2!H309</f>
        <v>0</v>
      </c>
      <c r="I309" s="7">
        <f>800+[1]táj.2!I309</f>
        <v>0</v>
      </c>
      <c r="J309" s="7">
        <f>0+[1]táj.2!J309</f>
        <v>0</v>
      </c>
      <c r="K309" s="7">
        <f>0+[1]táj.2!K309</f>
        <v>0</v>
      </c>
      <c r="L309" s="7">
        <f>0+[1]táj.2!L309</f>
        <v>0</v>
      </c>
      <c r="M309" s="7">
        <f>0+[1]táj.2!M309</f>
        <v>0</v>
      </c>
      <c r="N309" s="7">
        <f>0+[1]táj.2!N309</f>
        <v>0</v>
      </c>
      <c r="O309" s="7">
        <f>0+[1]táj.2!O309</f>
        <v>0</v>
      </c>
      <c r="P309" s="7">
        <f>0+[1]táj.2!P309</f>
        <v>0</v>
      </c>
      <c r="Q309" s="7">
        <f t="shared" si="20"/>
        <v>0</v>
      </c>
    </row>
    <row r="310" spans="1:17" ht="24.95" customHeight="1" x14ac:dyDescent="0.2">
      <c r="A310" s="162"/>
      <c r="B310" s="162"/>
      <c r="C310" s="178"/>
      <c r="D310" s="139" t="s">
        <v>831</v>
      </c>
      <c r="E310" s="144">
        <v>2</v>
      </c>
      <c r="F310" s="25">
        <v>151627</v>
      </c>
      <c r="G310" s="7">
        <f>0+[1]táj.2!G310</f>
        <v>0</v>
      </c>
      <c r="H310" s="7">
        <f>0+[1]táj.2!H310</f>
        <v>0</v>
      </c>
      <c r="I310" s="7">
        <f>1000+[1]táj.2!I310</f>
        <v>1000</v>
      </c>
      <c r="J310" s="7">
        <f>0+[1]táj.2!J310</f>
        <v>0</v>
      </c>
      <c r="K310" s="7">
        <f>0+[1]táj.2!K310</f>
        <v>0</v>
      </c>
      <c r="L310" s="7">
        <f>0+[1]táj.2!L310</f>
        <v>0</v>
      </c>
      <c r="M310" s="7">
        <f>0+[1]táj.2!M310</f>
        <v>0</v>
      </c>
      <c r="N310" s="7">
        <f>0+[1]táj.2!N310</f>
        <v>0</v>
      </c>
      <c r="O310" s="7">
        <f>0+[1]táj.2!O310</f>
        <v>0</v>
      </c>
      <c r="P310" s="7">
        <f>0+[1]táj.2!P310</f>
        <v>0</v>
      </c>
      <c r="Q310" s="7">
        <f t="shared" si="20"/>
        <v>1000</v>
      </c>
    </row>
    <row r="311" spans="1:17" ht="16.5" customHeight="1" x14ac:dyDescent="0.2">
      <c r="A311" s="162"/>
      <c r="B311" s="162"/>
      <c r="C311" s="178"/>
      <c r="D311" s="258" t="s">
        <v>832</v>
      </c>
      <c r="E311" s="144">
        <v>2</v>
      </c>
      <c r="F311" s="25">
        <v>151638</v>
      </c>
      <c r="G311" s="7">
        <f>0+[1]táj.2!G311</f>
        <v>0</v>
      </c>
      <c r="H311" s="7">
        <f>0+[1]táj.2!H311</f>
        <v>0</v>
      </c>
      <c r="I311" s="7">
        <f>1500+[1]táj.2!I311</f>
        <v>1500</v>
      </c>
      <c r="J311" s="7">
        <f>0+[1]táj.2!J311</f>
        <v>0</v>
      </c>
      <c r="K311" s="7">
        <f>0+[1]táj.2!K311</f>
        <v>0</v>
      </c>
      <c r="L311" s="7">
        <f>0+[1]táj.2!L311</f>
        <v>0</v>
      </c>
      <c r="M311" s="7">
        <f>0+[1]táj.2!M311</f>
        <v>0</v>
      </c>
      <c r="N311" s="7">
        <f>0+[1]táj.2!N311</f>
        <v>0</v>
      </c>
      <c r="O311" s="7">
        <f>0+[1]táj.2!O311</f>
        <v>0</v>
      </c>
      <c r="P311" s="7">
        <f>0+[1]táj.2!P311</f>
        <v>0</v>
      </c>
      <c r="Q311" s="7">
        <f t="shared" si="20"/>
        <v>1500</v>
      </c>
    </row>
    <row r="312" spans="1:17" ht="14.1" customHeight="1" x14ac:dyDescent="0.2">
      <c r="A312" s="162"/>
      <c r="B312" s="162"/>
      <c r="C312" s="178"/>
      <c r="D312" s="247" t="s">
        <v>833</v>
      </c>
      <c r="E312" s="7">
        <v>1</v>
      </c>
      <c r="F312" s="7">
        <v>151603</v>
      </c>
      <c r="G312" s="7">
        <f>0+[1]táj.2!G312</f>
        <v>0</v>
      </c>
      <c r="H312" s="7">
        <f>0+[1]táj.2!H312</f>
        <v>0</v>
      </c>
      <c r="I312" s="7">
        <f>87665+[1]táj.2!I312</f>
        <v>87665</v>
      </c>
      <c r="J312" s="7">
        <f>0+[1]táj.2!J312</f>
        <v>0</v>
      </c>
      <c r="K312" s="7">
        <f>0+[1]táj.2!K312</f>
        <v>0</v>
      </c>
      <c r="L312" s="7">
        <f>0+[1]táj.2!L312</f>
        <v>0</v>
      </c>
      <c r="M312" s="7">
        <f>0+[1]táj.2!M312</f>
        <v>0</v>
      </c>
      <c r="N312" s="7">
        <f>0+[1]táj.2!N312</f>
        <v>0</v>
      </c>
      <c r="O312" s="7">
        <f>0+[1]táj.2!O312</f>
        <v>0</v>
      </c>
      <c r="P312" s="7">
        <f>0+[1]táj.2!P312</f>
        <v>0</v>
      </c>
      <c r="Q312" s="7">
        <f t="shared" si="20"/>
        <v>87665</v>
      </c>
    </row>
    <row r="313" spans="1:17" ht="14.1" customHeight="1" x14ac:dyDescent="0.2">
      <c r="A313" s="162"/>
      <c r="B313" s="162"/>
      <c r="C313" s="178"/>
      <c r="D313" s="247" t="s">
        <v>834</v>
      </c>
      <c r="E313" s="7">
        <v>1</v>
      </c>
      <c r="F313" s="7">
        <v>151605</v>
      </c>
      <c r="G313" s="7">
        <f>0+[1]táj.2!G313</f>
        <v>0</v>
      </c>
      <c r="H313" s="7">
        <f>0+[1]táj.2!H313</f>
        <v>0</v>
      </c>
      <c r="I313" s="7">
        <f>110175+[1]táj.2!I313</f>
        <v>110175</v>
      </c>
      <c r="J313" s="7">
        <f>0+[1]táj.2!J313</f>
        <v>0</v>
      </c>
      <c r="K313" s="7">
        <f>0+[1]táj.2!K313</f>
        <v>0</v>
      </c>
      <c r="L313" s="7">
        <f>0+[1]táj.2!L313</f>
        <v>0</v>
      </c>
      <c r="M313" s="7">
        <f>0+[1]táj.2!M313</f>
        <v>0</v>
      </c>
      <c r="N313" s="7">
        <f>0+[1]táj.2!N313</f>
        <v>0</v>
      </c>
      <c r="O313" s="7">
        <f>0+[1]táj.2!O313</f>
        <v>0</v>
      </c>
      <c r="P313" s="7">
        <f>0+[1]táj.2!P313</f>
        <v>0</v>
      </c>
      <c r="Q313" s="7">
        <f t="shared" si="20"/>
        <v>110175</v>
      </c>
    </row>
    <row r="314" spans="1:17" ht="14.1" customHeight="1" x14ac:dyDescent="0.2">
      <c r="A314" s="162"/>
      <c r="B314" s="162"/>
      <c r="C314" s="178"/>
      <c r="D314" s="247" t="s">
        <v>835</v>
      </c>
      <c r="E314" s="7">
        <v>1</v>
      </c>
      <c r="F314" s="7">
        <v>151608</v>
      </c>
      <c r="G314" s="7">
        <f>0+[1]táj.2!G314</f>
        <v>0</v>
      </c>
      <c r="H314" s="7">
        <f>0+[1]táj.2!H314</f>
        <v>0</v>
      </c>
      <c r="I314" s="7">
        <f>70000+[1]táj.2!I314</f>
        <v>70000</v>
      </c>
      <c r="J314" s="7">
        <f>0+[1]táj.2!J314</f>
        <v>0</v>
      </c>
      <c r="K314" s="7">
        <f>0+[1]táj.2!K314</f>
        <v>0</v>
      </c>
      <c r="L314" s="7">
        <f>0+[1]táj.2!L314</f>
        <v>0</v>
      </c>
      <c r="M314" s="7">
        <f>0+[1]táj.2!M314</f>
        <v>0</v>
      </c>
      <c r="N314" s="7">
        <f>0+[1]táj.2!N314</f>
        <v>0</v>
      </c>
      <c r="O314" s="7">
        <f>0+[1]táj.2!O314</f>
        <v>0</v>
      </c>
      <c r="P314" s="7">
        <f>0+[1]táj.2!P314</f>
        <v>0</v>
      </c>
      <c r="Q314" s="7">
        <f t="shared" si="20"/>
        <v>70000</v>
      </c>
    </row>
    <row r="315" spans="1:17" ht="14.1" customHeight="1" x14ac:dyDescent="0.2">
      <c r="A315" s="162"/>
      <c r="B315" s="162"/>
      <c r="C315" s="178"/>
      <c r="D315" s="247" t="s">
        <v>836</v>
      </c>
      <c r="E315" s="7">
        <v>2</v>
      </c>
      <c r="F315" s="7">
        <v>151624</v>
      </c>
      <c r="G315" s="7">
        <f>0+[1]táj.2!G315</f>
        <v>0</v>
      </c>
      <c r="H315" s="7">
        <f>0+[1]táj.2!H315</f>
        <v>0</v>
      </c>
      <c r="I315" s="7">
        <f>3600+[1]táj.2!I315</f>
        <v>3600</v>
      </c>
      <c r="J315" s="7">
        <f>0+[1]táj.2!J315</f>
        <v>0</v>
      </c>
      <c r="K315" s="7">
        <f>0+[1]táj.2!K315</f>
        <v>0</v>
      </c>
      <c r="L315" s="7">
        <f>0+[1]táj.2!L315</f>
        <v>0</v>
      </c>
      <c r="M315" s="7">
        <f>0+[1]táj.2!M315</f>
        <v>0</v>
      </c>
      <c r="N315" s="7">
        <f>0+[1]táj.2!N315</f>
        <v>0</v>
      </c>
      <c r="O315" s="7">
        <f>0+[1]táj.2!O315</f>
        <v>0</v>
      </c>
      <c r="P315" s="7">
        <f>0+[1]táj.2!P315</f>
        <v>0</v>
      </c>
      <c r="Q315" s="7">
        <f t="shared" si="20"/>
        <v>3600</v>
      </c>
    </row>
    <row r="316" spans="1:17" ht="14.1" customHeight="1" x14ac:dyDescent="0.2">
      <c r="A316" s="162"/>
      <c r="B316" s="162"/>
      <c r="C316" s="178"/>
      <c r="D316" s="247" t="s">
        <v>837</v>
      </c>
      <c r="E316" s="7">
        <v>1</v>
      </c>
      <c r="F316" s="7">
        <v>151631</v>
      </c>
      <c r="G316" s="7">
        <f>0+[1]táj.2!G316</f>
        <v>0</v>
      </c>
      <c r="H316" s="7">
        <f>0+[1]táj.2!H316</f>
        <v>0</v>
      </c>
      <c r="I316" s="7">
        <f>4808+[1]táj.2!I316</f>
        <v>5108</v>
      </c>
      <c r="J316" s="7">
        <f>0+[1]táj.2!J316</f>
        <v>0</v>
      </c>
      <c r="K316" s="7">
        <f>0+[1]táj.2!K316</f>
        <v>0</v>
      </c>
      <c r="L316" s="7">
        <f>0+[1]táj.2!L316</f>
        <v>0</v>
      </c>
      <c r="M316" s="7">
        <f>0+[1]táj.2!M316</f>
        <v>0</v>
      </c>
      <c r="N316" s="7">
        <f>0+[1]táj.2!N316</f>
        <v>0</v>
      </c>
      <c r="O316" s="7">
        <f>0+[1]táj.2!O316</f>
        <v>0</v>
      </c>
      <c r="P316" s="7">
        <f>0+[1]táj.2!P316</f>
        <v>0</v>
      </c>
      <c r="Q316" s="7">
        <f t="shared" si="20"/>
        <v>5108</v>
      </c>
    </row>
    <row r="317" spans="1:17" ht="14.1" customHeight="1" x14ac:dyDescent="0.2">
      <c r="A317" s="162"/>
      <c r="B317" s="162"/>
      <c r="C317" s="178"/>
      <c r="D317" s="267" t="s">
        <v>838</v>
      </c>
      <c r="E317" s="7">
        <v>1</v>
      </c>
      <c r="F317" s="7">
        <v>151632</v>
      </c>
      <c r="G317" s="7">
        <f>0+[1]táj.2!G317</f>
        <v>0</v>
      </c>
      <c r="H317" s="7">
        <f>0+[1]táj.2!H317</f>
        <v>0</v>
      </c>
      <c r="I317" s="7">
        <f>2500+[1]táj.2!I317</f>
        <v>2500</v>
      </c>
      <c r="J317" s="7">
        <f>0+[1]táj.2!J317</f>
        <v>0</v>
      </c>
      <c r="K317" s="7">
        <f>0+[1]táj.2!K317</f>
        <v>0</v>
      </c>
      <c r="L317" s="7">
        <f>0+[1]táj.2!L317</f>
        <v>0</v>
      </c>
      <c r="M317" s="7">
        <f>0+[1]táj.2!M317</f>
        <v>0</v>
      </c>
      <c r="N317" s="7">
        <f>0+[1]táj.2!N317</f>
        <v>0</v>
      </c>
      <c r="O317" s="7">
        <f>0+[1]táj.2!O317</f>
        <v>0</v>
      </c>
      <c r="P317" s="7">
        <f>0+[1]táj.2!P317</f>
        <v>0</v>
      </c>
      <c r="Q317" s="7">
        <f t="shared" si="20"/>
        <v>2500</v>
      </c>
    </row>
    <row r="318" spans="1:17" ht="24.75" customHeight="1" x14ac:dyDescent="0.2">
      <c r="A318" s="162"/>
      <c r="B318" s="162"/>
      <c r="C318" s="178"/>
      <c r="D318" s="268" t="s">
        <v>839</v>
      </c>
      <c r="E318" s="7">
        <v>1</v>
      </c>
      <c r="F318" s="7">
        <v>151635</v>
      </c>
      <c r="G318" s="7">
        <f>0+[1]táj.2!G318</f>
        <v>0</v>
      </c>
      <c r="H318" s="7">
        <f>0+[1]táj.2!H318</f>
        <v>0</v>
      </c>
      <c r="I318" s="7">
        <f>5153+[1]táj.2!I318</f>
        <v>5153</v>
      </c>
      <c r="J318" s="7">
        <f>0+[1]táj.2!J318</f>
        <v>0</v>
      </c>
      <c r="K318" s="7">
        <f>0+[1]táj.2!K318</f>
        <v>0</v>
      </c>
      <c r="L318" s="7">
        <f>0+[1]táj.2!L318</f>
        <v>0</v>
      </c>
      <c r="M318" s="7">
        <f>0+[1]táj.2!M318</f>
        <v>0</v>
      </c>
      <c r="N318" s="7">
        <f>0+[1]táj.2!N318</f>
        <v>0</v>
      </c>
      <c r="O318" s="7">
        <f>0+[1]táj.2!O318</f>
        <v>0</v>
      </c>
      <c r="P318" s="7">
        <f>0+[1]táj.2!P318</f>
        <v>0</v>
      </c>
      <c r="Q318" s="7">
        <f t="shared" si="20"/>
        <v>5153</v>
      </c>
    </row>
    <row r="319" spans="1:17" ht="14.1" customHeight="1" x14ac:dyDescent="0.2">
      <c r="A319" s="162"/>
      <c r="B319" s="162"/>
      <c r="C319" s="178"/>
      <c r="D319" s="269" t="s">
        <v>840</v>
      </c>
      <c r="E319" s="7">
        <v>1</v>
      </c>
      <c r="F319" s="7">
        <v>151612</v>
      </c>
      <c r="G319" s="7">
        <f>0+[1]táj.2!G319</f>
        <v>0</v>
      </c>
      <c r="H319" s="7">
        <f>0+[1]táj.2!H319</f>
        <v>0</v>
      </c>
      <c r="I319" s="7">
        <f>2000+[1]táj.2!I319</f>
        <v>2000</v>
      </c>
      <c r="J319" s="7">
        <f>0+[1]táj.2!J319</f>
        <v>0</v>
      </c>
      <c r="K319" s="7">
        <f>0+[1]táj.2!K319</f>
        <v>0</v>
      </c>
      <c r="L319" s="7">
        <f>0+[1]táj.2!L319</f>
        <v>0</v>
      </c>
      <c r="M319" s="7">
        <f>0+[1]táj.2!M319</f>
        <v>0</v>
      </c>
      <c r="N319" s="7">
        <f>0+[1]táj.2!N319</f>
        <v>0</v>
      </c>
      <c r="O319" s="7">
        <f>0+[1]táj.2!O319</f>
        <v>0</v>
      </c>
      <c r="P319" s="7">
        <f>0+[1]táj.2!P319</f>
        <v>0</v>
      </c>
      <c r="Q319" s="7">
        <f t="shared" si="20"/>
        <v>2000</v>
      </c>
    </row>
    <row r="320" spans="1:17" ht="14.1" customHeight="1" x14ac:dyDescent="0.2">
      <c r="A320" s="162"/>
      <c r="B320" s="162"/>
      <c r="C320" s="178"/>
      <c r="D320" s="269" t="s">
        <v>841</v>
      </c>
      <c r="E320" s="7">
        <v>1</v>
      </c>
      <c r="F320" s="7">
        <v>151614</v>
      </c>
      <c r="G320" s="7">
        <f>0+[1]táj.2!G320</f>
        <v>0</v>
      </c>
      <c r="H320" s="7">
        <f>0+[1]táj.2!H320</f>
        <v>0</v>
      </c>
      <c r="I320" s="7">
        <f>5953+[1]táj.2!I320</f>
        <v>5953</v>
      </c>
      <c r="J320" s="7">
        <f>0+[1]táj.2!J320</f>
        <v>0</v>
      </c>
      <c r="K320" s="7">
        <f>0+[1]táj.2!K320</f>
        <v>0</v>
      </c>
      <c r="L320" s="7">
        <f>0+[1]táj.2!L320</f>
        <v>0</v>
      </c>
      <c r="M320" s="7">
        <f>0+[1]táj.2!M320</f>
        <v>0</v>
      </c>
      <c r="N320" s="7">
        <f>0+[1]táj.2!N320</f>
        <v>0</v>
      </c>
      <c r="O320" s="7">
        <f>0+[1]táj.2!O320</f>
        <v>0</v>
      </c>
      <c r="P320" s="7">
        <f>0+[1]táj.2!P320</f>
        <v>0</v>
      </c>
      <c r="Q320" s="7">
        <f t="shared" si="20"/>
        <v>5953</v>
      </c>
    </row>
    <row r="321" spans="1:17" ht="14.1" customHeight="1" x14ac:dyDescent="0.2">
      <c r="A321" s="162"/>
      <c r="B321" s="162"/>
      <c r="C321" s="178"/>
      <c r="D321" s="258" t="s">
        <v>842</v>
      </c>
      <c r="E321" s="7">
        <v>2</v>
      </c>
      <c r="F321" s="7">
        <v>162695</v>
      </c>
      <c r="G321" s="7">
        <f>0+[1]táj.2!G321</f>
        <v>0</v>
      </c>
      <c r="H321" s="7">
        <f>0+[1]táj.2!H321</f>
        <v>0</v>
      </c>
      <c r="I321" s="7">
        <f>0+[1]táj.2!I321</f>
        <v>0</v>
      </c>
      <c r="J321" s="7">
        <f>0+[1]táj.2!J321</f>
        <v>0</v>
      </c>
      <c r="K321" s="7">
        <f>12000+[1]táj.2!K321</f>
        <v>0</v>
      </c>
      <c r="L321" s="7">
        <f>0+[1]táj.2!L321</f>
        <v>0</v>
      </c>
      <c r="M321" s="7">
        <f>0+[1]táj.2!M321</f>
        <v>0</v>
      </c>
      <c r="N321" s="7">
        <f>0+[1]táj.2!N321</f>
        <v>0</v>
      </c>
      <c r="O321" s="7">
        <f>0+[1]táj.2!O321</f>
        <v>0</v>
      </c>
      <c r="P321" s="7">
        <f>0+[1]táj.2!P321</f>
        <v>0</v>
      </c>
      <c r="Q321" s="7">
        <f t="shared" si="20"/>
        <v>0</v>
      </c>
    </row>
    <row r="322" spans="1:17" ht="12.95" customHeight="1" x14ac:dyDescent="0.2">
      <c r="A322" s="162"/>
      <c r="B322" s="162"/>
      <c r="C322" s="178"/>
      <c r="D322" s="257" t="s">
        <v>759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24" customHeight="1" x14ac:dyDescent="0.2">
      <c r="A323" s="162"/>
      <c r="B323" s="162"/>
      <c r="C323" s="178"/>
      <c r="D323" s="141" t="s">
        <v>843</v>
      </c>
      <c r="E323" s="7">
        <v>1</v>
      </c>
      <c r="F323" s="7">
        <v>151505</v>
      </c>
      <c r="G323" s="7">
        <f>0+[1]táj.2!G323</f>
        <v>0</v>
      </c>
      <c r="H323" s="7">
        <f>0+[1]táj.2!H323</f>
        <v>0</v>
      </c>
      <c r="I323" s="7">
        <f>6317+[1]táj.2!I323</f>
        <v>6317</v>
      </c>
      <c r="J323" s="7">
        <f>0+[1]táj.2!J323</f>
        <v>0</v>
      </c>
      <c r="K323" s="7">
        <f>0+[1]táj.2!K323</f>
        <v>0</v>
      </c>
      <c r="L323" s="7">
        <f>0+[1]táj.2!L323</f>
        <v>0</v>
      </c>
      <c r="M323" s="7">
        <f>0+[1]táj.2!M323</f>
        <v>0</v>
      </c>
      <c r="N323" s="7">
        <f>0+[1]táj.2!N323</f>
        <v>0</v>
      </c>
      <c r="O323" s="7">
        <f>0+[1]táj.2!O323</f>
        <v>0</v>
      </c>
      <c r="P323" s="7">
        <f>0+[1]táj.2!P323</f>
        <v>0</v>
      </c>
      <c r="Q323" s="7">
        <f>SUM(G323:P323)</f>
        <v>6317</v>
      </c>
    </row>
    <row r="324" spans="1:17" ht="12.95" customHeight="1" x14ac:dyDescent="0.2">
      <c r="A324" s="162"/>
      <c r="B324" s="162"/>
      <c r="C324" s="178"/>
      <c r="D324" s="258" t="s">
        <v>427</v>
      </c>
      <c r="E324" s="171"/>
      <c r="F324" s="171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4.1" customHeight="1" x14ac:dyDescent="0.2">
      <c r="A325" s="162"/>
      <c r="B325" s="162"/>
      <c r="C325" s="162"/>
      <c r="D325" s="247" t="s">
        <v>428</v>
      </c>
      <c r="E325" s="7">
        <v>2</v>
      </c>
      <c r="F325" s="7">
        <v>151906</v>
      </c>
      <c r="G325" s="7">
        <f>0+[1]táj.2!G325</f>
        <v>0</v>
      </c>
      <c r="H325" s="7">
        <f>0+[1]táj.2!H325</f>
        <v>0</v>
      </c>
      <c r="I325" s="7">
        <f>134027+[1]táj.2!I325</f>
        <v>134027</v>
      </c>
      <c r="J325" s="7">
        <f>0+[1]táj.2!J325</f>
        <v>0</v>
      </c>
      <c r="K325" s="7">
        <f>0+[1]táj.2!K325</f>
        <v>0</v>
      </c>
      <c r="L325" s="7">
        <f>0+[1]táj.2!L325</f>
        <v>0</v>
      </c>
      <c r="M325" s="7">
        <f>0+[1]táj.2!M325</f>
        <v>0</v>
      </c>
      <c r="N325" s="7">
        <f>0+[1]táj.2!N325</f>
        <v>0</v>
      </c>
      <c r="O325" s="7">
        <f>0+[1]táj.2!O325</f>
        <v>0</v>
      </c>
      <c r="P325" s="7">
        <f>0+[1]táj.2!P325</f>
        <v>0</v>
      </c>
      <c r="Q325" s="7">
        <f>SUM(G325:P325)</f>
        <v>134027</v>
      </c>
    </row>
    <row r="326" spans="1:17" ht="14.1" customHeight="1" x14ac:dyDescent="0.2">
      <c r="A326" s="162"/>
      <c r="B326" s="162"/>
      <c r="C326" s="178"/>
      <c r="D326" s="247" t="s">
        <v>844</v>
      </c>
      <c r="E326" s="7">
        <v>2</v>
      </c>
      <c r="F326" s="7">
        <v>151915</v>
      </c>
      <c r="G326" s="7">
        <f>0+[1]táj.2!G326</f>
        <v>0</v>
      </c>
      <c r="H326" s="7">
        <f>0+[1]táj.2!H326</f>
        <v>0</v>
      </c>
      <c r="I326" s="7">
        <f>2667+[1]táj.2!I326</f>
        <v>2667</v>
      </c>
      <c r="J326" s="7">
        <f>0+[1]táj.2!J326</f>
        <v>0</v>
      </c>
      <c r="K326" s="7">
        <f>0+[1]táj.2!K326</f>
        <v>0</v>
      </c>
      <c r="L326" s="7">
        <f>0+[1]táj.2!L326</f>
        <v>0</v>
      </c>
      <c r="M326" s="7">
        <f>0+[1]táj.2!M326</f>
        <v>0</v>
      </c>
      <c r="N326" s="7">
        <f>0+[1]táj.2!N326</f>
        <v>0</v>
      </c>
      <c r="O326" s="7">
        <f>0+[1]táj.2!O326</f>
        <v>0</v>
      </c>
      <c r="P326" s="7">
        <f>0+[1]táj.2!P326</f>
        <v>0</v>
      </c>
      <c r="Q326" s="7">
        <f>SUM(G326:P326)</f>
        <v>2667</v>
      </c>
    </row>
    <row r="327" spans="1:17" ht="14.1" customHeight="1" x14ac:dyDescent="0.2">
      <c r="A327" s="162"/>
      <c r="B327" s="162"/>
      <c r="C327" s="178"/>
      <c r="D327" s="247" t="s">
        <v>429</v>
      </c>
      <c r="E327" s="7">
        <v>2</v>
      </c>
      <c r="F327" s="7">
        <v>151907</v>
      </c>
      <c r="G327" s="7">
        <f>0+[1]táj.2!G327</f>
        <v>0</v>
      </c>
      <c r="H327" s="7">
        <f>0+[1]táj.2!H327</f>
        <v>0</v>
      </c>
      <c r="I327" s="7">
        <f>179070+[1]táj.2!I327</f>
        <v>179070</v>
      </c>
      <c r="J327" s="7">
        <f>0+[1]táj.2!J327</f>
        <v>0</v>
      </c>
      <c r="K327" s="7">
        <f>0+[1]táj.2!K327</f>
        <v>0</v>
      </c>
      <c r="L327" s="7">
        <f>0+[1]táj.2!L327</f>
        <v>0</v>
      </c>
      <c r="M327" s="7">
        <f>0+[1]táj.2!M327</f>
        <v>0</v>
      </c>
      <c r="N327" s="7">
        <f>0+[1]táj.2!N327</f>
        <v>0</v>
      </c>
      <c r="O327" s="7">
        <f>0+[1]táj.2!O327</f>
        <v>0</v>
      </c>
      <c r="P327" s="7">
        <f>0+[1]táj.2!P327</f>
        <v>0</v>
      </c>
      <c r="Q327" s="7">
        <f>SUM(G327:P327)</f>
        <v>179070</v>
      </c>
    </row>
    <row r="328" spans="1:17" ht="25.5" customHeight="1" x14ac:dyDescent="0.2">
      <c r="A328" s="162"/>
      <c r="B328" s="162"/>
      <c r="C328" s="178"/>
      <c r="D328" s="141" t="s">
        <v>845</v>
      </c>
      <c r="E328" s="7">
        <v>2</v>
      </c>
      <c r="F328" s="7">
        <v>151924</v>
      </c>
      <c r="G328" s="7">
        <f>0+[1]táj.2!G328</f>
        <v>0</v>
      </c>
      <c r="H328" s="7">
        <f>0+[1]táj.2!H328</f>
        <v>0</v>
      </c>
      <c r="I328" s="7">
        <f>2000+[1]táj.2!I328</f>
        <v>1000</v>
      </c>
      <c r="J328" s="7">
        <f>0+[1]táj.2!J328</f>
        <v>0</v>
      </c>
      <c r="K328" s="7">
        <f>0+[1]táj.2!K328</f>
        <v>0</v>
      </c>
      <c r="L328" s="7">
        <f>0+[1]táj.2!L328</f>
        <v>0</v>
      </c>
      <c r="M328" s="7">
        <f>0+[1]táj.2!M328</f>
        <v>0</v>
      </c>
      <c r="N328" s="7">
        <f>0+[1]táj.2!N328</f>
        <v>0</v>
      </c>
      <c r="O328" s="7">
        <f>0+[1]táj.2!O328</f>
        <v>0</v>
      </c>
      <c r="P328" s="7">
        <f>0+[1]táj.2!P328</f>
        <v>0</v>
      </c>
      <c r="Q328" s="7">
        <f>SUM(G328:P328)</f>
        <v>1000</v>
      </c>
    </row>
    <row r="329" spans="1:17" ht="14.1" customHeight="1" x14ac:dyDescent="0.2">
      <c r="A329" s="162"/>
      <c r="B329" s="162"/>
      <c r="C329" s="178"/>
      <c r="D329" s="258" t="s">
        <v>846</v>
      </c>
      <c r="E329" s="171"/>
      <c r="F329" s="171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4.1" customHeight="1" x14ac:dyDescent="0.2">
      <c r="A330" s="162"/>
      <c r="B330" s="162"/>
      <c r="C330" s="178"/>
      <c r="D330" s="258" t="s">
        <v>847</v>
      </c>
      <c r="E330" s="171">
        <v>1</v>
      </c>
      <c r="F330" s="7">
        <v>151801</v>
      </c>
      <c r="G330" s="7">
        <f>0+[1]táj.2!G330</f>
        <v>0</v>
      </c>
      <c r="H330" s="7">
        <f>0+[1]táj.2!H330</f>
        <v>0</v>
      </c>
      <c r="I330" s="7">
        <f>0+[1]táj.2!I330</f>
        <v>0</v>
      </c>
      <c r="J330" s="7">
        <f>0+[1]táj.2!J330</f>
        <v>0</v>
      </c>
      <c r="K330" s="7">
        <f>27911+[1]táj.2!K330</f>
        <v>27911</v>
      </c>
      <c r="L330" s="7">
        <f>0+[1]táj.2!L330</f>
        <v>0</v>
      </c>
      <c r="M330" s="7">
        <f>0+[1]táj.2!M330</f>
        <v>0</v>
      </c>
      <c r="N330" s="7">
        <f>0+[1]táj.2!N330</f>
        <v>0</v>
      </c>
      <c r="O330" s="7">
        <f>0+[1]táj.2!O330</f>
        <v>0</v>
      </c>
      <c r="P330" s="7">
        <f>0+[1]táj.2!P330</f>
        <v>0</v>
      </c>
      <c r="Q330" s="7">
        <f>SUM(G330:P330)</f>
        <v>27911</v>
      </c>
    </row>
    <row r="331" spans="1:17" ht="14.1" customHeight="1" x14ac:dyDescent="0.2">
      <c r="A331" s="162"/>
      <c r="B331" s="162"/>
      <c r="C331" s="178"/>
      <c r="D331" s="258" t="s">
        <v>848</v>
      </c>
      <c r="E331" s="171">
        <v>1</v>
      </c>
      <c r="F331" s="7">
        <v>151803</v>
      </c>
      <c r="G331" s="7">
        <f>0+[1]táj.2!G331</f>
        <v>0</v>
      </c>
      <c r="H331" s="7">
        <f>0+[1]táj.2!H331</f>
        <v>0</v>
      </c>
      <c r="I331" s="7">
        <f>500+[1]táj.2!I331</f>
        <v>500</v>
      </c>
      <c r="J331" s="7">
        <f>0+[1]táj.2!J331</f>
        <v>0</v>
      </c>
      <c r="K331" s="7">
        <f>0+[1]táj.2!K331</f>
        <v>0</v>
      </c>
      <c r="L331" s="7">
        <f>0+[1]táj.2!L331</f>
        <v>0</v>
      </c>
      <c r="M331" s="7">
        <f>0+[1]táj.2!M331</f>
        <v>0</v>
      </c>
      <c r="N331" s="7">
        <f>0+[1]táj.2!N331</f>
        <v>0</v>
      </c>
      <c r="O331" s="7">
        <f>0+[1]táj.2!O331</f>
        <v>0</v>
      </c>
      <c r="P331" s="7">
        <f>0+[1]táj.2!P331</f>
        <v>0</v>
      </c>
      <c r="Q331" s="7">
        <f>SUM(G331:P331)</f>
        <v>500</v>
      </c>
    </row>
    <row r="332" spans="1:17" ht="14.1" customHeight="1" x14ac:dyDescent="0.2">
      <c r="A332" s="162"/>
      <c r="B332" s="162"/>
      <c r="C332" s="178"/>
      <c r="D332" s="270" t="s">
        <v>849</v>
      </c>
      <c r="E332" s="173">
        <v>1</v>
      </c>
      <c r="F332" s="7">
        <v>151802</v>
      </c>
      <c r="G332" s="7">
        <f>0+[1]táj.2!G332</f>
        <v>0</v>
      </c>
      <c r="H332" s="7">
        <f>0+[1]táj.2!H332</f>
        <v>0</v>
      </c>
      <c r="I332" s="7">
        <f>1500+[1]táj.2!I332</f>
        <v>1500</v>
      </c>
      <c r="J332" s="7">
        <f>0+[1]táj.2!J332</f>
        <v>0</v>
      </c>
      <c r="K332" s="7">
        <f>0+[1]táj.2!K332</f>
        <v>0</v>
      </c>
      <c r="L332" s="7">
        <f>0+[1]táj.2!L332</f>
        <v>0</v>
      </c>
      <c r="M332" s="7">
        <f>0+[1]táj.2!M332</f>
        <v>0</v>
      </c>
      <c r="N332" s="7">
        <f>0+[1]táj.2!N332</f>
        <v>0</v>
      </c>
      <c r="O332" s="7">
        <f>0+[1]táj.2!O332</f>
        <v>0</v>
      </c>
      <c r="P332" s="7">
        <f>0+[1]táj.2!P332</f>
        <v>0</v>
      </c>
      <c r="Q332" s="7">
        <f>SUM(G332:P332)</f>
        <v>1500</v>
      </c>
    </row>
    <row r="333" spans="1:17" ht="14.1" customHeight="1" x14ac:dyDescent="0.2">
      <c r="A333" s="162"/>
      <c r="B333" s="162"/>
      <c r="C333" s="178"/>
      <c r="D333" s="258" t="s">
        <v>850</v>
      </c>
      <c r="E333" s="171"/>
      <c r="F333" s="171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4.1" customHeight="1" x14ac:dyDescent="0.2">
      <c r="A334" s="162"/>
      <c r="B334" s="162"/>
      <c r="C334" s="178"/>
      <c r="D334" s="258" t="s">
        <v>851</v>
      </c>
      <c r="E334" s="7">
        <v>1</v>
      </c>
      <c r="F334" s="7">
        <v>151201</v>
      </c>
      <c r="G334" s="7">
        <f>0+[1]táj.2!G334</f>
        <v>0</v>
      </c>
      <c r="H334" s="7">
        <f>0+[1]táj.2!H334</f>
        <v>0</v>
      </c>
      <c r="I334" s="7">
        <f>134064+[1]táj.2!I334</f>
        <v>134064</v>
      </c>
      <c r="J334" s="7">
        <f>0+[1]táj.2!J334</f>
        <v>0</v>
      </c>
      <c r="K334" s="7">
        <f>0+[1]táj.2!K334</f>
        <v>0</v>
      </c>
      <c r="L334" s="7">
        <f>0+[1]táj.2!L334</f>
        <v>0</v>
      </c>
      <c r="M334" s="7">
        <f>0+[1]táj.2!M334</f>
        <v>0</v>
      </c>
      <c r="N334" s="7">
        <f>0+[1]táj.2!N334</f>
        <v>0</v>
      </c>
      <c r="O334" s="7">
        <f>0+[1]táj.2!O334</f>
        <v>0</v>
      </c>
      <c r="P334" s="7">
        <f>0+[1]táj.2!P334</f>
        <v>0</v>
      </c>
      <c r="Q334" s="7">
        <f t="shared" ref="Q334:Q340" si="21">SUM(G334:P334)</f>
        <v>134064</v>
      </c>
    </row>
    <row r="335" spans="1:17" ht="14.1" customHeight="1" x14ac:dyDescent="0.2">
      <c r="A335" s="162"/>
      <c r="B335" s="162"/>
      <c r="C335" s="178"/>
      <c r="D335" s="258" t="s">
        <v>852</v>
      </c>
      <c r="E335" s="171">
        <v>1</v>
      </c>
      <c r="F335" s="7">
        <v>151204</v>
      </c>
      <c r="G335" s="7">
        <f>0+[1]táj.2!G335</f>
        <v>0</v>
      </c>
      <c r="H335" s="7">
        <f>0+[1]táj.2!H335</f>
        <v>0</v>
      </c>
      <c r="I335" s="7">
        <f>2207+[1]táj.2!I335</f>
        <v>2207</v>
      </c>
      <c r="J335" s="7">
        <f>0+[1]táj.2!J335</f>
        <v>0</v>
      </c>
      <c r="K335" s="7">
        <f>0+[1]táj.2!K335</f>
        <v>0</v>
      </c>
      <c r="L335" s="7">
        <f>0+[1]táj.2!L335</f>
        <v>0</v>
      </c>
      <c r="M335" s="7">
        <f>0+[1]táj.2!M335</f>
        <v>0</v>
      </c>
      <c r="N335" s="7">
        <f>0+[1]táj.2!N335</f>
        <v>0</v>
      </c>
      <c r="O335" s="7">
        <f>0+[1]táj.2!O335</f>
        <v>0</v>
      </c>
      <c r="P335" s="7">
        <f>0+[1]táj.2!P335</f>
        <v>0</v>
      </c>
      <c r="Q335" s="7">
        <f t="shared" si="21"/>
        <v>2207</v>
      </c>
    </row>
    <row r="336" spans="1:17" ht="14.1" customHeight="1" x14ac:dyDescent="0.2">
      <c r="A336" s="162"/>
      <c r="B336" s="162"/>
      <c r="C336" s="178"/>
      <c r="D336" s="258" t="s">
        <v>853</v>
      </c>
      <c r="E336" s="171">
        <v>1</v>
      </c>
      <c r="F336" s="7">
        <v>151202</v>
      </c>
      <c r="G336" s="7">
        <f>0+[1]táj.2!G336</f>
        <v>0</v>
      </c>
      <c r="H336" s="7">
        <f>0+[1]táj.2!H336</f>
        <v>0</v>
      </c>
      <c r="I336" s="7">
        <f>22455+[1]táj.2!I336</f>
        <v>22455</v>
      </c>
      <c r="J336" s="7">
        <f>0+[1]táj.2!J336</f>
        <v>0</v>
      </c>
      <c r="K336" s="7">
        <f>0+[1]táj.2!K336</f>
        <v>0</v>
      </c>
      <c r="L336" s="7">
        <f>0+[1]táj.2!L336</f>
        <v>0</v>
      </c>
      <c r="M336" s="7">
        <f>0+[1]táj.2!M336</f>
        <v>0</v>
      </c>
      <c r="N336" s="7">
        <f>0+[1]táj.2!N336</f>
        <v>0</v>
      </c>
      <c r="O336" s="7">
        <f>0+[1]táj.2!O336</f>
        <v>0</v>
      </c>
      <c r="P336" s="7">
        <f>0+[1]táj.2!P336</f>
        <v>0</v>
      </c>
      <c r="Q336" s="7">
        <f t="shared" si="21"/>
        <v>22455</v>
      </c>
    </row>
    <row r="337" spans="1:17" ht="14.1" customHeight="1" x14ac:dyDescent="0.2">
      <c r="A337" s="162"/>
      <c r="B337" s="162"/>
      <c r="C337" s="178"/>
      <c r="D337" s="258" t="s">
        <v>854</v>
      </c>
      <c r="E337" s="171">
        <v>1</v>
      </c>
      <c r="F337" s="7">
        <v>151205</v>
      </c>
      <c r="G337" s="7">
        <f>0+[1]táj.2!G337</f>
        <v>0</v>
      </c>
      <c r="H337" s="7">
        <f>0+[1]táj.2!H337</f>
        <v>0</v>
      </c>
      <c r="I337" s="7">
        <f>1000+[1]táj.2!I337</f>
        <v>1000</v>
      </c>
      <c r="J337" s="7">
        <f>0+[1]táj.2!J337</f>
        <v>0</v>
      </c>
      <c r="K337" s="7">
        <f>0+[1]táj.2!K337</f>
        <v>0</v>
      </c>
      <c r="L337" s="7">
        <f>0+[1]táj.2!L337</f>
        <v>0</v>
      </c>
      <c r="M337" s="7">
        <f>0+[1]táj.2!M337</f>
        <v>0</v>
      </c>
      <c r="N337" s="7">
        <f>0+[1]táj.2!N337</f>
        <v>0</v>
      </c>
      <c r="O337" s="7">
        <f>0+[1]táj.2!O337</f>
        <v>0</v>
      </c>
      <c r="P337" s="7">
        <f>0+[1]táj.2!P337</f>
        <v>0</v>
      </c>
      <c r="Q337" s="7">
        <f t="shared" si="21"/>
        <v>1000</v>
      </c>
    </row>
    <row r="338" spans="1:17" ht="23.25" customHeight="1" x14ac:dyDescent="0.2">
      <c r="A338" s="162"/>
      <c r="B338" s="162"/>
      <c r="C338" s="178"/>
      <c r="D338" s="139" t="s">
        <v>855</v>
      </c>
      <c r="E338" s="171">
        <v>2</v>
      </c>
      <c r="F338" s="7">
        <v>151207</v>
      </c>
      <c r="G338" s="7">
        <f>0+[1]táj.2!G338</f>
        <v>0</v>
      </c>
      <c r="H338" s="7">
        <f>0+[1]táj.2!H338</f>
        <v>0</v>
      </c>
      <c r="I338" s="7">
        <f>500+[1]táj.2!I338</f>
        <v>0</v>
      </c>
      <c r="J338" s="7">
        <f>0+[1]táj.2!J338</f>
        <v>0</v>
      </c>
      <c r="K338" s="7">
        <f>0+[1]táj.2!K338</f>
        <v>0</v>
      </c>
      <c r="L338" s="7">
        <f>0+[1]táj.2!L338</f>
        <v>0</v>
      </c>
      <c r="M338" s="7">
        <f>0+[1]táj.2!M338</f>
        <v>0</v>
      </c>
      <c r="N338" s="7">
        <f>0+[1]táj.2!N338</f>
        <v>0</v>
      </c>
      <c r="O338" s="7">
        <f>0+[1]táj.2!O338</f>
        <v>0</v>
      </c>
      <c r="P338" s="7">
        <f>0+[1]táj.2!P338</f>
        <v>0</v>
      </c>
      <c r="Q338" s="7">
        <f t="shared" si="21"/>
        <v>0</v>
      </c>
    </row>
    <row r="339" spans="1:17" ht="14.1" customHeight="1" x14ac:dyDescent="0.2">
      <c r="A339" s="162"/>
      <c r="B339" s="162"/>
      <c r="C339" s="178"/>
      <c r="D339" s="258" t="s">
        <v>856</v>
      </c>
      <c r="E339" s="171">
        <v>1</v>
      </c>
      <c r="F339" s="7">
        <v>151902</v>
      </c>
      <c r="G339" s="7">
        <f>7800+[1]táj.2!G339</f>
        <v>7800</v>
      </c>
      <c r="H339" s="7">
        <f>1350+[1]táj.2!H339</f>
        <v>1350</v>
      </c>
      <c r="I339" s="7">
        <f>5976+[1]táj.2!I339</f>
        <v>5976</v>
      </c>
      <c r="J339" s="7">
        <f>0+[1]táj.2!J339</f>
        <v>0</v>
      </c>
      <c r="K339" s="7">
        <f>0+[1]táj.2!K339</f>
        <v>0</v>
      </c>
      <c r="L339" s="7">
        <f>0+[1]táj.2!L339</f>
        <v>0</v>
      </c>
      <c r="M339" s="7">
        <f>0+[1]táj.2!M339</f>
        <v>0</v>
      </c>
      <c r="N339" s="7">
        <f>0+[1]táj.2!N339</f>
        <v>0</v>
      </c>
      <c r="O339" s="7">
        <f>0+[1]táj.2!O339</f>
        <v>0</v>
      </c>
      <c r="P339" s="7">
        <f>0+[1]táj.2!P339</f>
        <v>0</v>
      </c>
      <c r="Q339" s="7">
        <f t="shared" si="21"/>
        <v>15126</v>
      </c>
    </row>
    <row r="340" spans="1:17" ht="25.5" customHeight="1" x14ac:dyDescent="0.2">
      <c r="A340" s="162"/>
      <c r="B340" s="162"/>
      <c r="C340" s="178"/>
      <c r="D340" s="139" t="s">
        <v>857</v>
      </c>
      <c r="E340" s="171"/>
      <c r="F340" s="7">
        <v>151925</v>
      </c>
      <c r="G340" s="7">
        <f>0+[1]táj.2!G340</f>
        <v>0</v>
      </c>
      <c r="H340" s="7">
        <f>0+[1]táj.2!H340</f>
        <v>0</v>
      </c>
      <c r="I340" s="7">
        <f>3000+[1]táj.2!I340</f>
        <v>3000</v>
      </c>
      <c r="J340" s="7">
        <f>0+[1]táj.2!J340</f>
        <v>0</v>
      </c>
      <c r="K340" s="7">
        <f>0+[1]táj.2!K340</f>
        <v>0</v>
      </c>
      <c r="L340" s="7">
        <f>0+[1]táj.2!L340</f>
        <v>0</v>
      </c>
      <c r="M340" s="7">
        <f>0+[1]táj.2!M340</f>
        <v>0</v>
      </c>
      <c r="N340" s="7">
        <f>0+[1]táj.2!N340</f>
        <v>0</v>
      </c>
      <c r="O340" s="7">
        <f>0+[1]táj.2!O340</f>
        <v>0</v>
      </c>
      <c r="P340" s="7">
        <f>0+[1]táj.2!P340</f>
        <v>0</v>
      </c>
      <c r="Q340" s="7">
        <f t="shared" si="21"/>
        <v>3000</v>
      </c>
    </row>
    <row r="341" spans="1:17" ht="15" customHeight="1" x14ac:dyDescent="0.2">
      <c r="A341" s="162"/>
      <c r="B341" s="162"/>
      <c r="C341" s="178"/>
      <c r="D341" s="141" t="s">
        <v>442</v>
      </c>
      <c r="E341" s="196"/>
      <c r="F341" s="19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24.95" customHeight="1" x14ac:dyDescent="0.2">
      <c r="A342" s="162"/>
      <c r="B342" s="162"/>
      <c r="C342" s="178"/>
      <c r="D342" s="141" t="s">
        <v>858</v>
      </c>
      <c r="E342" s="144">
        <v>2</v>
      </c>
      <c r="F342" s="25">
        <v>151910</v>
      </c>
      <c r="G342" s="7">
        <f>0+[1]táj.2!G342</f>
        <v>0</v>
      </c>
      <c r="H342" s="7">
        <f>0+[1]táj.2!H342</f>
        <v>0</v>
      </c>
      <c r="I342" s="7">
        <f>180190+[1]táj.2!I342</f>
        <v>180190</v>
      </c>
      <c r="J342" s="7">
        <f>0+[1]táj.2!J342</f>
        <v>0</v>
      </c>
      <c r="K342" s="7">
        <f>0+[1]táj.2!K342</f>
        <v>0</v>
      </c>
      <c r="L342" s="7">
        <f>0+[1]táj.2!L342</f>
        <v>0</v>
      </c>
      <c r="M342" s="7">
        <f>0+[1]táj.2!M342</f>
        <v>0</v>
      </c>
      <c r="N342" s="7">
        <f>0+[1]táj.2!N342</f>
        <v>0</v>
      </c>
      <c r="O342" s="7">
        <f>0+[1]táj.2!O342</f>
        <v>0</v>
      </c>
      <c r="P342" s="7">
        <f>0+[1]táj.2!P342</f>
        <v>0</v>
      </c>
      <c r="Q342" s="7">
        <f>SUM(G342:P342)</f>
        <v>180190</v>
      </c>
    </row>
    <row r="343" spans="1:17" ht="24.75" customHeight="1" x14ac:dyDescent="0.2">
      <c r="A343" s="162"/>
      <c r="B343" s="162"/>
      <c r="C343" s="178"/>
      <c r="D343" s="141" t="s">
        <v>506</v>
      </c>
      <c r="E343" s="144"/>
      <c r="F343" s="19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24.95" customHeight="1" x14ac:dyDescent="0.2">
      <c r="A344" s="162"/>
      <c r="B344" s="162"/>
      <c r="C344" s="178"/>
      <c r="D344" s="141" t="s">
        <v>859</v>
      </c>
      <c r="E344" s="144">
        <v>1</v>
      </c>
      <c r="F344" s="25">
        <v>152915</v>
      </c>
      <c r="G344" s="7">
        <f>0+[1]táj.2!G344</f>
        <v>0</v>
      </c>
      <c r="H344" s="7">
        <f>0+[1]táj.2!H344</f>
        <v>0</v>
      </c>
      <c r="I344" s="7">
        <f>15808+[1]táj.2!I344</f>
        <v>15808</v>
      </c>
      <c r="J344" s="7">
        <f>0+[1]táj.2!J344</f>
        <v>0</v>
      </c>
      <c r="K344" s="7">
        <f>0+[1]táj.2!K344</f>
        <v>0</v>
      </c>
      <c r="L344" s="7">
        <f>0+[1]táj.2!L344</f>
        <v>0</v>
      </c>
      <c r="M344" s="7">
        <f>0+[1]táj.2!M344</f>
        <v>0</v>
      </c>
      <c r="N344" s="7">
        <f>0+[1]táj.2!N344</f>
        <v>0</v>
      </c>
      <c r="O344" s="7">
        <f>0+[1]táj.2!O344</f>
        <v>0</v>
      </c>
      <c r="P344" s="7">
        <f>0+[1]táj.2!P344</f>
        <v>0</v>
      </c>
      <c r="Q344" s="7">
        <f>SUM(G344:P344)</f>
        <v>15808</v>
      </c>
    </row>
    <row r="345" spans="1:17" ht="17.100000000000001" customHeight="1" x14ac:dyDescent="0.2">
      <c r="A345" s="162"/>
      <c r="B345" s="162"/>
      <c r="C345" s="178"/>
      <c r="D345" s="258" t="s">
        <v>860</v>
      </c>
      <c r="E345" s="171"/>
      <c r="F345" s="171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7.100000000000001" customHeight="1" x14ac:dyDescent="0.2">
      <c r="A346" s="162"/>
      <c r="B346" s="162"/>
      <c r="C346" s="178"/>
      <c r="D346" s="258" t="s">
        <v>861</v>
      </c>
      <c r="E346" s="7">
        <v>1</v>
      </c>
      <c r="F346" s="7">
        <v>151704</v>
      </c>
      <c r="G346" s="7">
        <f>0+[1]táj.2!G346</f>
        <v>0</v>
      </c>
      <c r="H346" s="7">
        <f>0+[1]táj.2!H346</f>
        <v>0</v>
      </c>
      <c r="I346" s="7">
        <f>0+[1]táj.2!I346</f>
        <v>0</v>
      </c>
      <c r="J346" s="7">
        <f>0+[1]táj.2!J346</f>
        <v>0</v>
      </c>
      <c r="K346" s="7">
        <f>250+[1]táj.2!K346</f>
        <v>250</v>
      </c>
      <c r="L346" s="7">
        <f>0+[1]táj.2!L346</f>
        <v>0</v>
      </c>
      <c r="M346" s="7">
        <f>0+[1]táj.2!M346</f>
        <v>0</v>
      </c>
      <c r="N346" s="7">
        <f>0+[1]táj.2!N346</f>
        <v>0</v>
      </c>
      <c r="O346" s="7">
        <f>0+[1]táj.2!O346</f>
        <v>0</v>
      </c>
      <c r="P346" s="7">
        <f>0+[1]táj.2!P346</f>
        <v>0</v>
      </c>
      <c r="Q346" s="7">
        <f>SUM(G346:P346)</f>
        <v>250</v>
      </c>
    </row>
    <row r="347" spans="1:17" ht="17.100000000000001" customHeight="1" x14ac:dyDescent="0.2">
      <c r="A347" s="182"/>
      <c r="B347" s="182"/>
      <c r="C347" s="183"/>
      <c r="D347" s="271" t="s">
        <v>862</v>
      </c>
      <c r="E347" s="185"/>
      <c r="F347" s="52"/>
      <c r="G347" s="52">
        <f>SUM(G235:G346)</f>
        <v>7800</v>
      </c>
      <c r="H347" s="52">
        <f t="shared" ref="H347:Q347" si="22">SUM(H235:H346)</f>
        <v>1350</v>
      </c>
      <c r="I347" s="52">
        <f t="shared" si="22"/>
        <v>1783126</v>
      </c>
      <c r="J347" s="52">
        <f t="shared" si="22"/>
        <v>0</v>
      </c>
      <c r="K347" s="52">
        <f t="shared" si="22"/>
        <v>434698</v>
      </c>
      <c r="L347" s="52">
        <f t="shared" si="22"/>
        <v>1995</v>
      </c>
      <c r="M347" s="52">
        <f t="shared" si="22"/>
        <v>0</v>
      </c>
      <c r="N347" s="52">
        <f t="shared" si="22"/>
        <v>0</v>
      </c>
      <c r="O347" s="52">
        <f t="shared" si="22"/>
        <v>0</v>
      </c>
      <c r="P347" s="52">
        <f t="shared" si="22"/>
        <v>0</v>
      </c>
      <c r="Q347" s="52">
        <f t="shared" si="22"/>
        <v>2228969</v>
      </c>
    </row>
    <row r="348" spans="1:17" ht="17.100000000000001" customHeight="1" x14ac:dyDescent="0.2">
      <c r="A348" s="135"/>
      <c r="B348" s="135"/>
      <c r="C348" s="135"/>
      <c r="D348" s="251" t="s">
        <v>581</v>
      </c>
      <c r="E348" s="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ht="17.25" customHeight="1" x14ac:dyDescent="0.2">
      <c r="A349" s="135"/>
      <c r="B349" s="135"/>
      <c r="C349" s="272" t="s">
        <v>211</v>
      </c>
      <c r="D349" s="273" t="s">
        <v>863</v>
      </c>
      <c r="E349" s="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ht="26.25" customHeight="1" x14ac:dyDescent="0.2">
      <c r="A350" s="135"/>
      <c r="B350" s="135"/>
      <c r="C350" s="162" t="s">
        <v>582</v>
      </c>
      <c r="D350" s="231" t="s">
        <v>864</v>
      </c>
      <c r="E350" s="596"/>
      <c r="F350" s="7">
        <v>154132</v>
      </c>
      <c r="G350" s="7">
        <f>0+[1]táj.2!G350</f>
        <v>0</v>
      </c>
      <c r="H350" s="7">
        <f>0+[1]táj.2!H350</f>
        <v>0</v>
      </c>
      <c r="I350" s="7">
        <f>0+[1]táj.2!I350</f>
        <v>0</v>
      </c>
      <c r="J350" s="7">
        <f>0+[1]táj.2!J350</f>
        <v>0</v>
      </c>
      <c r="K350" s="7">
        <f>0+[1]táj.2!K350</f>
        <v>0</v>
      </c>
      <c r="L350" s="7">
        <f>0+[1]táj.2!L350</f>
        <v>0</v>
      </c>
      <c r="M350" s="7">
        <f>2000+[1]táj.2!M350</f>
        <v>0</v>
      </c>
      <c r="N350" s="7">
        <f>0+[1]táj.2!N350</f>
        <v>0</v>
      </c>
      <c r="O350" s="7">
        <f>0+[1]táj.2!O350</f>
        <v>0</v>
      </c>
      <c r="P350" s="7">
        <f>0+[1]táj.2!P350</f>
        <v>0</v>
      </c>
      <c r="Q350" s="7">
        <f t="shared" ref="Q350:Q357" si="23">SUM(G350:P350)</f>
        <v>0</v>
      </c>
    </row>
    <row r="351" spans="1:17" ht="17.100000000000001" customHeight="1" x14ac:dyDescent="0.2">
      <c r="A351" s="135"/>
      <c r="B351" s="135"/>
      <c r="C351" s="162" t="s">
        <v>865</v>
      </c>
      <c r="D351" s="695" t="s">
        <v>866</v>
      </c>
      <c r="E351" s="596"/>
      <c r="F351" s="7">
        <v>152130</v>
      </c>
      <c r="G351" s="7">
        <f>0+[1]táj.2!G351</f>
        <v>0</v>
      </c>
      <c r="H351" s="7">
        <f>0+[1]táj.2!H351</f>
        <v>0</v>
      </c>
      <c r="I351" s="7">
        <f>0+[1]táj.2!I351</f>
        <v>0</v>
      </c>
      <c r="J351" s="7">
        <f>0+[1]táj.2!J351</f>
        <v>0</v>
      </c>
      <c r="K351" s="7">
        <f>0+[1]táj.2!K351</f>
        <v>0</v>
      </c>
      <c r="L351" s="7">
        <f>3000+[1]táj.2!L351</f>
        <v>0</v>
      </c>
      <c r="M351" s="7">
        <f>0+[1]táj.2!M351</f>
        <v>0</v>
      </c>
      <c r="N351" s="7">
        <f>0+[1]táj.2!N351</f>
        <v>0</v>
      </c>
      <c r="O351" s="7">
        <f>0+[1]táj.2!O351</f>
        <v>0</v>
      </c>
      <c r="P351" s="7">
        <f>0+[1]táj.2!P351</f>
        <v>0</v>
      </c>
      <c r="Q351" s="7">
        <f t="shared" si="23"/>
        <v>0</v>
      </c>
    </row>
    <row r="352" spans="1:17" ht="17.100000000000001" customHeight="1" x14ac:dyDescent="0.2">
      <c r="A352" s="135"/>
      <c r="B352" s="135"/>
      <c r="C352" s="162" t="s">
        <v>867</v>
      </c>
      <c r="D352" s="640" t="s">
        <v>868</v>
      </c>
      <c r="E352" s="596"/>
      <c r="F352" s="7">
        <v>152112</v>
      </c>
      <c r="G352" s="7">
        <f>0+[1]táj.2!G352</f>
        <v>0</v>
      </c>
      <c r="H352" s="7">
        <f>0+[1]táj.2!H352</f>
        <v>0</v>
      </c>
      <c r="I352" s="7">
        <f>0+[1]táj.2!I352</f>
        <v>0</v>
      </c>
      <c r="J352" s="7">
        <f>0+[1]táj.2!J352</f>
        <v>0</v>
      </c>
      <c r="K352" s="7">
        <f>0+[1]táj.2!K352</f>
        <v>0</v>
      </c>
      <c r="L352" s="7">
        <f>13000+[1]táj.2!L352</f>
        <v>10000</v>
      </c>
      <c r="M352" s="7">
        <f>0+[1]táj.2!M352</f>
        <v>0</v>
      </c>
      <c r="N352" s="7">
        <f>0+[1]táj.2!N352</f>
        <v>0</v>
      </c>
      <c r="O352" s="7">
        <f>0+[1]táj.2!O352</f>
        <v>0</v>
      </c>
      <c r="P352" s="7">
        <f>0+[1]táj.2!P352</f>
        <v>0</v>
      </c>
      <c r="Q352" s="7">
        <f t="shared" si="23"/>
        <v>10000</v>
      </c>
    </row>
    <row r="353" spans="1:17" ht="17.100000000000001" customHeight="1" x14ac:dyDescent="0.2">
      <c r="A353" s="135"/>
      <c r="B353" s="135"/>
      <c r="C353" s="162" t="s">
        <v>869</v>
      </c>
      <c r="D353" s="696" t="s">
        <v>870</v>
      </c>
      <c r="E353" s="596"/>
      <c r="F353" s="7">
        <v>152131</v>
      </c>
      <c r="G353" s="7">
        <f>0+[1]táj.2!G353</f>
        <v>0</v>
      </c>
      <c r="H353" s="7">
        <f>0+[1]táj.2!H353</f>
        <v>0</v>
      </c>
      <c r="I353" s="7">
        <f>0+[1]táj.2!I353</f>
        <v>0</v>
      </c>
      <c r="J353" s="7">
        <f>0+[1]táj.2!J353</f>
        <v>0</v>
      </c>
      <c r="K353" s="7">
        <f>0+[1]táj.2!K353</f>
        <v>0</v>
      </c>
      <c r="L353" s="7">
        <f>2000+[1]táj.2!L353</f>
        <v>0</v>
      </c>
      <c r="M353" s="7">
        <f>0+[1]táj.2!M353</f>
        <v>0</v>
      </c>
      <c r="N353" s="7">
        <f>0+[1]táj.2!N353</f>
        <v>0</v>
      </c>
      <c r="O353" s="7">
        <f>0+[1]táj.2!O353</f>
        <v>0</v>
      </c>
      <c r="P353" s="7">
        <f>0+[1]táj.2!P353</f>
        <v>0</v>
      </c>
      <c r="Q353" s="7">
        <f t="shared" si="23"/>
        <v>0</v>
      </c>
    </row>
    <row r="354" spans="1:17" ht="17.100000000000001" customHeight="1" x14ac:dyDescent="0.2">
      <c r="A354" s="135"/>
      <c r="B354" s="135"/>
      <c r="C354" s="162" t="s">
        <v>871</v>
      </c>
      <c r="D354" s="641" t="s">
        <v>872</v>
      </c>
      <c r="E354" s="596"/>
      <c r="F354" s="7">
        <v>152132</v>
      </c>
      <c r="G354" s="7">
        <f>0+[1]táj.2!G354</f>
        <v>0</v>
      </c>
      <c r="H354" s="7">
        <f>0+[1]táj.2!H354</f>
        <v>0</v>
      </c>
      <c r="I354" s="7">
        <f>0+[1]táj.2!I354</f>
        <v>0</v>
      </c>
      <c r="J354" s="7">
        <f>0+[1]táj.2!J354</f>
        <v>0</v>
      </c>
      <c r="K354" s="7">
        <f>0+[1]táj.2!K354</f>
        <v>0</v>
      </c>
      <c r="L354" s="7">
        <f>2000+[1]táj.2!L354</f>
        <v>2000</v>
      </c>
      <c r="M354" s="7">
        <f>0+[1]táj.2!M354</f>
        <v>0</v>
      </c>
      <c r="N354" s="7">
        <f>0+[1]táj.2!N354</f>
        <v>0</v>
      </c>
      <c r="O354" s="7">
        <f>0+[1]táj.2!O354</f>
        <v>0</v>
      </c>
      <c r="P354" s="7">
        <f>0+[1]táj.2!P354</f>
        <v>0</v>
      </c>
      <c r="Q354" s="7">
        <f t="shared" si="23"/>
        <v>2000</v>
      </c>
    </row>
    <row r="355" spans="1:17" ht="17.100000000000001" customHeight="1" x14ac:dyDescent="0.2">
      <c r="A355" s="135"/>
      <c r="B355" s="135"/>
      <c r="C355" s="162" t="s">
        <v>873</v>
      </c>
      <c r="D355" s="641" t="s">
        <v>874</v>
      </c>
      <c r="E355" s="596"/>
      <c r="F355" s="7">
        <v>152133</v>
      </c>
      <c r="G355" s="7">
        <f>0+[1]táj.2!G355</f>
        <v>0</v>
      </c>
      <c r="H355" s="7">
        <f>0+[1]táj.2!H355</f>
        <v>0</v>
      </c>
      <c r="I355" s="7">
        <f>0+[1]táj.2!I355</f>
        <v>0</v>
      </c>
      <c r="J355" s="7">
        <f>0+[1]táj.2!J355</f>
        <v>0</v>
      </c>
      <c r="K355" s="7">
        <f>0+[1]táj.2!K355</f>
        <v>0</v>
      </c>
      <c r="L355" s="7">
        <f>1500+[1]táj.2!L355</f>
        <v>1500</v>
      </c>
      <c r="M355" s="7">
        <f>0+[1]táj.2!M355</f>
        <v>0</v>
      </c>
      <c r="N355" s="7">
        <f>0+[1]táj.2!N355</f>
        <v>0</v>
      </c>
      <c r="O355" s="7">
        <f>0+[1]táj.2!O355</f>
        <v>0</v>
      </c>
      <c r="P355" s="7">
        <f>0+[1]táj.2!P355</f>
        <v>0</v>
      </c>
      <c r="Q355" s="7">
        <f t="shared" si="23"/>
        <v>1500</v>
      </c>
    </row>
    <row r="356" spans="1:17" ht="17.100000000000001" customHeight="1" x14ac:dyDescent="0.2">
      <c r="A356" s="135"/>
      <c r="B356" s="135"/>
      <c r="C356" s="162" t="s">
        <v>875</v>
      </c>
      <c r="D356" s="290" t="s">
        <v>876</v>
      </c>
      <c r="E356" s="596"/>
      <c r="F356" s="7">
        <v>152134</v>
      </c>
      <c r="G356" s="7">
        <f>0+[1]táj.2!G356</f>
        <v>0</v>
      </c>
      <c r="H356" s="7">
        <f>0+[1]táj.2!H356</f>
        <v>0</v>
      </c>
      <c r="I356" s="7">
        <f>0+[1]táj.2!I356</f>
        <v>0</v>
      </c>
      <c r="J356" s="7">
        <f>0+[1]táj.2!J356</f>
        <v>0</v>
      </c>
      <c r="K356" s="7">
        <f>0+[1]táj.2!K356</f>
        <v>0</v>
      </c>
      <c r="L356" s="7">
        <f>0+[1]táj.2!L356</f>
        <v>0</v>
      </c>
      <c r="M356" s="7">
        <f>0+[1]táj.2!M356</f>
        <v>0</v>
      </c>
      <c r="N356" s="7">
        <f>0+[1]táj.2!N356</f>
        <v>0</v>
      </c>
      <c r="O356" s="7">
        <f>0+[1]táj.2!O356</f>
        <v>0</v>
      </c>
      <c r="P356" s="7">
        <f>0+[1]táj.2!P356</f>
        <v>0</v>
      </c>
      <c r="Q356" s="7">
        <f t="shared" si="23"/>
        <v>0</v>
      </c>
    </row>
    <row r="357" spans="1:17" ht="17.100000000000001" customHeight="1" x14ac:dyDescent="0.2">
      <c r="A357" s="135"/>
      <c r="B357" s="135"/>
      <c r="C357" s="162" t="s">
        <v>877</v>
      </c>
      <c r="D357" s="274" t="s">
        <v>878</v>
      </c>
      <c r="E357" s="596"/>
      <c r="F357" s="7">
        <v>152135</v>
      </c>
      <c r="G357" s="7">
        <f>0+[1]táj.2!G357</f>
        <v>0</v>
      </c>
      <c r="H357" s="7">
        <f>0+[1]táj.2!H357</f>
        <v>0</v>
      </c>
      <c r="I357" s="7">
        <f>0+[1]táj.2!I357</f>
        <v>0</v>
      </c>
      <c r="J357" s="7">
        <f>0+[1]táj.2!J357</f>
        <v>0</v>
      </c>
      <c r="K357" s="7">
        <f>0+[1]táj.2!K357</f>
        <v>0</v>
      </c>
      <c r="L357" s="7">
        <f>3458+[1]táj.2!L357</f>
        <v>2972</v>
      </c>
      <c r="M357" s="7">
        <f>0+[1]táj.2!M357</f>
        <v>0</v>
      </c>
      <c r="N357" s="7">
        <f>0+[1]táj.2!N357</f>
        <v>0</v>
      </c>
      <c r="O357" s="7">
        <f>0+[1]táj.2!O357</f>
        <v>0</v>
      </c>
      <c r="P357" s="7">
        <f>0+[1]táj.2!P357</f>
        <v>0</v>
      </c>
      <c r="Q357" s="7">
        <f t="shared" si="23"/>
        <v>2972</v>
      </c>
    </row>
    <row r="358" spans="1:17" ht="17.100000000000001" customHeight="1" x14ac:dyDescent="0.2">
      <c r="A358" s="135"/>
      <c r="B358" s="135"/>
      <c r="C358" s="275"/>
      <c r="D358" s="276" t="s">
        <v>584</v>
      </c>
      <c r="E358" s="9"/>
      <c r="F358" s="8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7.100000000000001" customHeight="1" x14ac:dyDescent="0.2">
      <c r="A359" s="135"/>
      <c r="B359" s="272"/>
      <c r="C359" s="277" t="s">
        <v>585</v>
      </c>
      <c r="D359" s="200" t="s">
        <v>78</v>
      </c>
      <c r="E359" s="596"/>
      <c r="F359" s="7">
        <v>154103</v>
      </c>
      <c r="G359" s="7">
        <f>0+[1]táj.2!G359</f>
        <v>0</v>
      </c>
      <c r="H359" s="7">
        <f>0+[1]táj.2!H359</f>
        <v>0</v>
      </c>
      <c r="I359" s="7">
        <f>0+[1]táj.2!I359</f>
        <v>0</v>
      </c>
      <c r="J359" s="7">
        <f>0+[1]táj.2!J359</f>
        <v>0</v>
      </c>
      <c r="K359" s="7">
        <f>0+[1]táj.2!K359</f>
        <v>0</v>
      </c>
      <c r="L359" s="7">
        <f>0+[1]táj.2!L359</f>
        <v>0</v>
      </c>
      <c r="M359" s="7">
        <f>3334+[1]táj.2!M359</f>
        <v>0</v>
      </c>
      <c r="N359" s="7">
        <f>0+[1]táj.2!N359</f>
        <v>0</v>
      </c>
      <c r="O359" s="7">
        <f>0+[1]táj.2!O359</f>
        <v>0</v>
      </c>
      <c r="P359" s="7">
        <f>0+[1]táj.2!P359</f>
        <v>0</v>
      </c>
      <c r="Q359" s="7">
        <f>SUM(G359:P359)</f>
        <v>0</v>
      </c>
    </row>
    <row r="360" spans="1:17" ht="17.100000000000001" customHeight="1" x14ac:dyDescent="0.2">
      <c r="A360" s="135"/>
      <c r="B360" s="272"/>
      <c r="C360" s="277" t="s">
        <v>587</v>
      </c>
      <c r="D360" s="278" t="s">
        <v>879</v>
      </c>
      <c r="E360" s="9"/>
      <c r="F360" s="7">
        <v>152128</v>
      </c>
      <c r="G360" s="7">
        <f>0+[1]táj.2!G360</f>
        <v>0</v>
      </c>
      <c r="H360" s="7">
        <f>0+[1]táj.2!H360</f>
        <v>0</v>
      </c>
      <c r="I360" s="7">
        <f>0+[1]táj.2!I360</f>
        <v>0</v>
      </c>
      <c r="J360" s="7">
        <f>0+[1]táj.2!J360</f>
        <v>0</v>
      </c>
      <c r="K360" s="7">
        <f>0+[1]táj.2!K360</f>
        <v>0</v>
      </c>
      <c r="L360" s="7">
        <f>11048+[1]táj.2!L360</f>
        <v>11048</v>
      </c>
      <c r="M360" s="7">
        <f>0+[1]táj.2!M360</f>
        <v>0</v>
      </c>
      <c r="N360" s="7">
        <f>0+[1]táj.2!N360</f>
        <v>0</v>
      </c>
      <c r="O360" s="7">
        <f>0+[1]táj.2!O360</f>
        <v>0</v>
      </c>
      <c r="P360" s="7">
        <f>0+[1]táj.2!P360</f>
        <v>0</v>
      </c>
      <c r="Q360" s="7">
        <f>SUM(G360:P360)</f>
        <v>11048</v>
      </c>
    </row>
    <row r="361" spans="1:17" ht="17.100000000000001" customHeight="1" x14ac:dyDescent="0.2">
      <c r="A361" s="135"/>
      <c r="B361" s="272"/>
      <c r="C361" s="277" t="s">
        <v>880</v>
      </c>
      <c r="D361" s="278" t="s">
        <v>881</v>
      </c>
      <c r="E361" s="9"/>
      <c r="F361" s="7">
        <v>152129</v>
      </c>
      <c r="G361" s="7">
        <f>0+[1]táj.2!G361</f>
        <v>0</v>
      </c>
      <c r="H361" s="7">
        <f>0+[1]táj.2!H361</f>
        <v>0</v>
      </c>
      <c r="I361" s="7">
        <f>0+[1]táj.2!I361</f>
        <v>0</v>
      </c>
      <c r="J361" s="7">
        <f>0+[1]táj.2!J361</f>
        <v>0</v>
      </c>
      <c r="K361" s="7">
        <f>0+[1]táj.2!K361</f>
        <v>0</v>
      </c>
      <c r="L361" s="7">
        <f>5715+[1]táj.2!L361</f>
        <v>5715</v>
      </c>
      <c r="M361" s="7">
        <f>0+[1]táj.2!M361</f>
        <v>0</v>
      </c>
      <c r="N361" s="7">
        <f>0+[1]táj.2!N361</f>
        <v>0</v>
      </c>
      <c r="O361" s="7">
        <f>0+[1]táj.2!O361</f>
        <v>0</v>
      </c>
      <c r="P361" s="7">
        <f>0+[1]táj.2!P361</f>
        <v>0</v>
      </c>
      <c r="Q361" s="7">
        <f>SUM(G361:P361)</f>
        <v>5715</v>
      </c>
    </row>
    <row r="362" spans="1:17" ht="26.25" customHeight="1" x14ac:dyDescent="0.2">
      <c r="A362" s="135"/>
      <c r="B362" s="272"/>
      <c r="C362" s="277" t="s">
        <v>882</v>
      </c>
      <c r="D362" s="604" t="s">
        <v>883</v>
      </c>
      <c r="E362" s="289"/>
      <c r="F362" s="7">
        <v>152122</v>
      </c>
      <c r="G362" s="7">
        <f>0+[1]táj.2!G362</f>
        <v>0</v>
      </c>
      <c r="H362" s="7">
        <f>0+[1]táj.2!H362</f>
        <v>0</v>
      </c>
      <c r="I362" s="7">
        <f>2336+[1]táj.2!I362</f>
        <v>2336</v>
      </c>
      <c r="J362" s="7">
        <f>0+[1]táj.2!J362</f>
        <v>0</v>
      </c>
      <c r="K362" s="7">
        <f>0+[1]táj.2!K362</f>
        <v>0</v>
      </c>
      <c r="L362" s="7">
        <f>1500+[1]táj.2!L362</f>
        <v>1500</v>
      </c>
      <c r="M362" s="7">
        <f>0+[1]táj.2!M362</f>
        <v>0</v>
      </c>
      <c r="N362" s="7">
        <f>0+[1]táj.2!N362</f>
        <v>0</v>
      </c>
      <c r="O362" s="7">
        <f>0+[1]táj.2!O362</f>
        <v>0</v>
      </c>
      <c r="P362" s="7">
        <f>0+[1]táj.2!P362</f>
        <v>0</v>
      </c>
      <c r="Q362" s="7">
        <f>SUM(G362:P362)</f>
        <v>3836</v>
      </c>
    </row>
    <row r="363" spans="1:17" ht="17.100000000000001" customHeight="1" x14ac:dyDescent="0.2">
      <c r="A363" s="135"/>
      <c r="B363" s="135"/>
      <c r="C363" s="277" t="s">
        <v>884</v>
      </c>
      <c r="D363" s="605" t="s">
        <v>885</v>
      </c>
      <c r="E363" s="9"/>
      <c r="F363" s="7">
        <v>154128</v>
      </c>
      <c r="G363" s="7">
        <f>0+[1]táj.2!G363</f>
        <v>0</v>
      </c>
      <c r="H363" s="7">
        <f>0+[1]táj.2!H363</f>
        <v>0</v>
      </c>
      <c r="I363" s="7">
        <f>0+[1]táj.2!I363</f>
        <v>0</v>
      </c>
      <c r="J363" s="7">
        <f>0+[1]táj.2!J363</f>
        <v>0</v>
      </c>
      <c r="K363" s="7">
        <f>0+[1]táj.2!K363</f>
        <v>0</v>
      </c>
      <c r="L363" s="7">
        <f>0+[1]táj.2!L363</f>
        <v>0</v>
      </c>
      <c r="M363" s="7">
        <f>3139+[1]táj.2!M363</f>
        <v>3139</v>
      </c>
      <c r="N363" s="7">
        <f>0+[1]táj.2!N363</f>
        <v>0</v>
      </c>
      <c r="O363" s="7">
        <f>0+[1]táj.2!O363</f>
        <v>0</v>
      </c>
      <c r="P363" s="7">
        <f>0+[1]táj.2!P363</f>
        <v>0</v>
      </c>
      <c r="Q363" s="7">
        <f>SUM(G363:P363)</f>
        <v>3139</v>
      </c>
    </row>
    <row r="364" spans="1:17" ht="17.100000000000001" customHeight="1" x14ac:dyDescent="0.2">
      <c r="A364" s="135"/>
      <c r="B364" s="135"/>
      <c r="C364" s="280" t="s">
        <v>210</v>
      </c>
      <c r="D364" s="281" t="s">
        <v>886</v>
      </c>
      <c r="E364" s="9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17.100000000000001" customHeight="1" x14ac:dyDescent="0.2">
      <c r="A365" s="135"/>
      <c r="B365" s="135"/>
      <c r="C365" s="731" t="s">
        <v>1122</v>
      </c>
      <c r="D365" s="732" t="s">
        <v>1504</v>
      </c>
      <c r="E365" s="338"/>
      <c r="F365" s="158">
        <v>154202</v>
      </c>
      <c r="G365" s="7">
        <f>0+[1]táj.2!G365</f>
        <v>0</v>
      </c>
      <c r="H365" s="7">
        <f>0+[1]táj.2!H365</f>
        <v>0</v>
      </c>
      <c r="I365" s="7">
        <f>0+[1]táj.2!I365</f>
        <v>0</v>
      </c>
      <c r="J365" s="7">
        <f>0+[1]táj.2!J365</f>
        <v>0</v>
      </c>
      <c r="K365" s="7">
        <f>0+[1]táj.2!K365</f>
        <v>0</v>
      </c>
      <c r="L365" s="7">
        <f>0+[1]táj.2!L365</f>
        <v>0</v>
      </c>
      <c r="M365" s="7">
        <f>0+[1]táj.2!M365</f>
        <v>599</v>
      </c>
      <c r="N365" s="7">
        <f>0+[1]táj.2!N365</f>
        <v>0</v>
      </c>
      <c r="O365" s="7">
        <f>0+[1]táj.2!O365</f>
        <v>0</v>
      </c>
      <c r="P365" s="7">
        <f>0+[1]táj.2!P365</f>
        <v>0</v>
      </c>
      <c r="Q365" s="7">
        <f>SUM(G365:P365)</f>
        <v>599</v>
      </c>
    </row>
    <row r="366" spans="1:17" ht="17.100000000000001" customHeight="1" x14ac:dyDescent="0.2">
      <c r="A366" s="135"/>
      <c r="B366" s="135"/>
      <c r="C366" s="282" t="s">
        <v>212</v>
      </c>
      <c r="D366" s="606" t="s">
        <v>887</v>
      </c>
      <c r="E366" s="9"/>
      <c r="F366" s="8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17.100000000000001" customHeight="1" x14ac:dyDescent="0.2">
      <c r="A367" s="135"/>
      <c r="B367" s="135"/>
      <c r="C367" s="283" t="s">
        <v>728</v>
      </c>
      <c r="D367" s="200" t="s">
        <v>888</v>
      </c>
      <c r="E367" s="596"/>
      <c r="F367" s="7">
        <v>152346</v>
      </c>
      <c r="G367" s="7">
        <f>0+[1]táj.2!G367</f>
        <v>0</v>
      </c>
      <c r="H367" s="7">
        <f>0+[1]táj.2!H367</f>
        <v>0</v>
      </c>
      <c r="I367" s="7">
        <f>0+[1]táj.2!I367</f>
        <v>0</v>
      </c>
      <c r="J367" s="7">
        <f>0+[1]táj.2!J367</f>
        <v>0</v>
      </c>
      <c r="K367" s="7">
        <f>0+[1]táj.2!K367</f>
        <v>0</v>
      </c>
      <c r="L367" s="7">
        <f>500+[1]táj.2!L367</f>
        <v>0</v>
      </c>
      <c r="M367" s="7">
        <f>0+[1]táj.2!M367</f>
        <v>0</v>
      </c>
      <c r="N367" s="7">
        <f>0+[1]táj.2!N367</f>
        <v>0</v>
      </c>
      <c r="O367" s="7">
        <f>0+[1]táj.2!O367</f>
        <v>0</v>
      </c>
      <c r="P367" s="7">
        <f>0+[1]táj.2!P367</f>
        <v>0</v>
      </c>
      <c r="Q367" s="7">
        <f t="shared" ref="Q367:Q372" si="24">SUM(G367:P367)</f>
        <v>0</v>
      </c>
    </row>
    <row r="368" spans="1:17" ht="17.100000000000001" customHeight="1" x14ac:dyDescent="0.2">
      <c r="A368" s="135"/>
      <c r="B368" s="135"/>
      <c r="C368" s="283" t="s">
        <v>729</v>
      </c>
      <c r="D368" s="200" t="s">
        <v>889</v>
      </c>
      <c r="E368" s="9"/>
      <c r="F368" s="7">
        <v>152304</v>
      </c>
      <c r="G368" s="7">
        <f>0+[1]táj.2!G368</f>
        <v>0</v>
      </c>
      <c r="H368" s="7">
        <f>0+[1]táj.2!H368</f>
        <v>0</v>
      </c>
      <c r="I368" s="7">
        <f>0+[1]táj.2!I368</f>
        <v>0</v>
      </c>
      <c r="J368" s="7">
        <f>0+[1]táj.2!J368</f>
        <v>0</v>
      </c>
      <c r="K368" s="7">
        <f>0+[1]táj.2!K368</f>
        <v>0</v>
      </c>
      <c r="L368" s="7">
        <f>1000+[1]táj.2!L368</f>
        <v>0</v>
      </c>
      <c r="M368" s="7">
        <f>0+[1]táj.2!M368</f>
        <v>0</v>
      </c>
      <c r="N368" s="7">
        <f>0+[1]táj.2!N368</f>
        <v>0</v>
      </c>
      <c r="O368" s="7">
        <f>0+[1]táj.2!O368</f>
        <v>0</v>
      </c>
      <c r="P368" s="7">
        <f>0+[1]táj.2!P368</f>
        <v>0</v>
      </c>
      <c r="Q368" s="7">
        <f t="shared" si="24"/>
        <v>0</v>
      </c>
    </row>
    <row r="369" spans="1:17" ht="17.100000000000001" customHeight="1" x14ac:dyDescent="0.2">
      <c r="A369" s="135"/>
      <c r="B369" s="135"/>
      <c r="C369" s="283" t="s">
        <v>890</v>
      </c>
      <c r="D369" s="231" t="s">
        <v>891</v>
      </c>
      <c r="E369" s="596"/>
      <c r="F369" s="7">
        <v>152347</v>
      </c>
      <c r="G369" s="7">
        <f>0+[1]táj.2!G369</f>
        <v>0</v>
      </c>
      <c r="H369" s="7">
        <f>0+[1]táj.2!H369</f>
        <v>0</v>
      </c>
      <c r="I369" s="7">
        <f>0+[1]táj.2!I369</f>
        <v>0</v>
      </c>
      <c r="J369" s="7">
        <f>0+[1]táj.2!J369</f>
        <v>0</v>
      </c>
      <c r="K369" s="7">
        <f>0+[1]táj.2!K369</f>
        <v>0</v>
      </c>
      <c r="L369" s="7">
        <f>1500+[1]táj.2!L369</f>
        <v>0</v>
      </c>
      <c r="M369" s="7">
        <f>0+[1]táj.2!M369</f>
        <v>0</v>
      </c>
      <c r="N369" s="7">
        <f>0+[1]táj.2!N369</f>
        <v>0</v>
      </c>
      <c r="O369" s="7">
        <f>0+[1]táj.2!O369</f>
        <v>0</v>
      </c>
      <c r="P369" s="7">
        <f>0+[1]táj.2!P369</f>
        <v>0</v>
      </c>
      <c r="Q369" s="7">
        <f t="shared" si="24"/>
        <v>0</v>
      </c>
    </row>
    <row r="370" spans="1:17" ht="18.75" customHeight="1" x14ac:dyDescent="0.2">
      <c r="A370" s="135"/>
      <c r="B370" s="135"/>
      <c r="C370" s="283" t="s">
        <v>892</v>
      </c>
      <c r="D370" s="451" t="s">
        <v>893</v>
      </c>
      <c r="E370" s="596"/>
      <c r="F370" s="7">
        <v>152348</v>
      </c>
      <c r="G370" s="7">
        <f>0+[1]táj.2!G370</f>
        <v>0</v>
      </c>
      <c r="H370" s="7">
        <f>0+[1]táj.2!H370</f>
        <v>0</v>
      </c>
      <c r="I370" s="7">
        <f>0+[1]táj.2!I370</f>
        <v>0</v>
      </c>
      <c r="J370" s="7">
        <f>0+[1]táj.2!J370</f>
        <v>0</v>
      </c>
      <c r="K370" s="7">
        <f>0+[1]táj.2!K370</f>
        <v>0</v>
      </c>
      <c r="L370" s="7">
        <f>1000+[1]táj.2!L370</f>
        <v>0</v>
      </c>
      <c r="M370" s="7">
        <f>0+[1]táj.2!M370</f>
        <v>0</v>
      </c>
      <c r="N370" s="7">
        <f>0+[1]táj.2!N370</f>
        <v>0</v>
      </c>
      <c r="O370" s="7">
        <f>0+[1]táj.2!O370</f>
        <v>0</v>
      </c>
      <c r="P370" s="7">
        <f>0+[1]táj.2!P370</f>
        <v>0</v>
      </c>
      <c r="Q370" s="7">
        <f t="shared" si="24"/>
        <v>0</v>
      </c>
    </row>
    <row r="371" spans="1:17" ht="14.25" customHeight="1" x14ac:dyDescent="0.2">
      <c r="A371" s="135"/>
      <c r="B371" s="135"/>
      <c r="C371" s="283" t="s">
        <v>894</v>
      </c>
      <c r="D371" s="284" t="s">
        <v>895</v>
      </c>
      <c r="E371" s="596"/>
      <c r="F371" s="7">
        <v>152349</v>
      </c>
      <c r="G371" s="7">
        <f>0+[1]táj.2!G371</f>
        <v>0</v>
      </c>
      <c r="H371" s="7">
        <f>0+[1]táj.2!H371</f>
        <v>0</v>
      </c>
      <c r="I371" s="7">
        <f>0+[1]táj.2!I371</f>
        <v>0</v>
      </c>
      <c r="J371" s="7">
        <f>0+[1]táj.2!J371</f>
        <v>0</v>
      </c>
      <c r="K371" s="7">
        <f>0+[1]táj.2!K371</f>
        <v>0</v>
      </c>
      <c r="L371" s="7">
        <f>500+[1]táj.2!L371</f>
        <v>686</v>
      </c>
      <c r="M371" s="7">
        <f>0+[1]táj.2!M371</f>
        <v>0</v>
      </c>
      <c r="N371" s="7">
        <f>0+[1]táj.2!N371</f>
        <v>0</v>
      </c>
      <c r="O371" s="7">
        <f>0+[1]táj.2!O371</f>
        <v>0</v>
      </c>
      <c r="P371" s="7">
        <f>0+[1]táj.2!P371</f>
        <v>0</v>
      </c>
      <c r="Q371" s="7">
        <f t="shared" si="24"/>
        <v>686</v>
      </c>
    </row>
    <row r="372" spans="1:17" ht="17.100000000000001" customHeight="1" x14ac:dyDescent="0.2">
      <c r="A372" s="135"/>
      <c r="B372" s="135"/>
      <c r="C372" s="283" t="s">
        <v>896</v>
      </c>
      <c r="D372" s="284" t="s">
        <v>897</v>
      </c>
      <c r="E372" s="596"/>
      <c r="F372" s="7">
        <v>152350</v>
      </c>
      <c r="G372" s="7">
        <f>0+[1]táj.2!G372</f>
        <v>0</v>
      </c>
      <c r="H372" s="7">
        <f>0+[1]táj.2!H372</f>
        <v>0</v>
      </c>
      <c r="I372" s="7">
        <f>0+[1]táj.2!I372</f>
        <v>0</v>
      </c>
      <c r="J372" s="7">
        <f>0+[1]táj.2!J372</f>
        <v>0</v>
      </c>
      <c r="K372" s="7">
        <f>0+[1]táj.2!K372</f>
        <v>0</v>
      </c>
      <c r="L372" s="7">
        <f>500+[1]táj.2!L372</f>
        <v>0</v>
      </c>
      <c r="M372" s="7">
        <f>0+[1]táj.2!M372</f>
        <v>0</v>
      </c>
      <c r="N372" s="7">
        <f>0+[1]táj.2!N372</f>
        <v>0</v>
      </c>
      <c r="O372" s="7">
        <f>0+[1]táj.2!O372</f>
        <v>0</v>
      </c>
      <c r="P372" s="7">
        <f>0+[1]táj.2!P372</f>
        <v>0</v>
      </c>
      <c r="Q372" s="7">
        <f t="shared" si="24"/>
        <v>0</v>
      </c>
    </row>
    <row r="373" spans="1:17" ht="17.100000000000001" customHeight="1" x14ac:dyDescent="0.2">
      <c r="A373" s="135"/>
      <c r="B373" s="135"/>
      <c r="C373" s="285"/>
      <c r="D373" s="247" t="s">
        <v>584</v>
      </c>
      <c r="E373" s="9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ht="17.100000000000001" customHeight="1" x14ac:dyDescent="0.2">
      <c r="A374" s="135"/>
      <c r="B374" s="135"/>
      <c r="C374" s="286" t="s">
        <v>898</v>
      </c>
      <c r="D374" s="287" t="s">
        <v>899</v>
      </c>
      <c r="E374" s="9"/>
      <c r="F374" s="7">
        <v>152301</v>
      </c>
      <c r="G374" s="7">
        <f>0+[1]táj.2!G374</f>
        <v>0</v>
      </c>
      <c r="H374" s="7">
        <f>0+[1]táj.2!H374</f>
        <v>0</v>
      </c>
      <c r="I374" s="7">
        <f>0+[1]táj.2!I374</f>
        <v>0</v>
      </c>
      <c r="J374" s="7">
        <f>0+[1]táj.2!J374</f>
        <v>0</v>
      </c>
      <c r="K374" s="7">
        <f>0+[1]táj.2!K374</f>
        <v>0</v>
      </c>
      <c r="L374" s="7">
        <f>19867+[1]táj.2!L374</f>
        <v>19681</v>
      </c>
      <c r="M374" s="7">
        <f>0+[1]táj.2!M374</f>
        <v>0</v>
      </c>
      <c r="N374" s="7">
        <f>0+[1]táj.2!N374</f>
        <v>0</v>
      </c>
      <c r="O374" s="7">
        <f>0+[1]táj.2!O374</f>
        <v>0</v>
      </c>
      <c r="P374" s="7">
        <f>0+[1]táj.2!P374</f>
        <v>0</v>
      </c>
      <c r="Q374" s="7">
        <f>SUM(G374:P374)</f>
        <v>19681</v>
      </c>
    </row>
    <row r="375" spans="1:17" ht="17.100000000000001" customHeight="1" x14ac:dyDescent="0.2">
      <c r="A375" s="135"/>
      <c r="B375" s="135"/>
      <c r="C375" s="286" t="s">
        <v>900</v>
      </c>
      <c r="D375" s="200" t="s">
        <v>901</v>
      </c>
      <c r="E375" s="697"/>
      <c r="F375" s="7">
        <v>152302</v>
      </c>
      <c r="G375" s="7">
        <f>0+[1]táj.2!G375</f>
        <v>0</v>
      </c>
      <c r="H375" s="7">
        <f>0+[1]táj.2!H375</f>
        <v>0</v>
      </c>
      <c r="I375" s="7">
        <f>0+[1]táj.2!I375</f>
        <v>0</v>
      </c>
      <c r="J375" s="7">
        <f>0+[1]táj.2!J375</f>
        <v>0</v>
      </c>
      <c r="K375" s="7">
        <f>0+[1]táj.2!K375</f>
        <v>0</v>
      </c>
      <c r="L375" s="7">
        <f>70+[1]táj.2!L375</f>
        <v>70</v>
      </c>
      <c r="M375" s="7">
        <f>0+[1]táj.2!M375</f>
        <v>0</v>
      </c>
      <c r="N375" s="7">
        <f>0+[1]táj.2!N375</f>
        <v>0</v>
      </c>
      <c r="O375" s="7">
        <f>0+[1]táj.2!O375</f>
        <v>0</v>
      </c>
      <c r="P375" s="7">
        <f>0+[1]táj.2!P375</f>
        <v>0</v>
      </c>
      <c r="Q375" s="7">
        <f>SUM(G375:P375)</f>
        <v>70</v>
      </c>
    </row>
    <row r="376" spans="1:17" ht="29.25" customHeight="1" x14ac:dyDescent="0.2">
      <c r="A376" s="135"/>
      <c r="B376" s="135"/>
      <c r="C376" s="286" t="s">
        <v>902</v>
      </c>
      <c r="D376" s="200" t="s">
        <v>903</v>
      </c>
      <c r="E376" s="697"/>
      <c r="F376" s="7">
        <v>152307</v>
      </c>
      <c r="G376" s="7">
        <f>0+[1]táj.2!G376</f>
        <v>0</v>
      </c>
      <c r="H376" s="7">
        <f>0+[1]táj.2!H376</f>
        <v>0</v>
      </c>
      <c r="I376" s="7">
        <f>0+[1]táj.2!I376</f>
        <v>0</v>
      </c>
      <c r="J376" s="7">
        <f>0+[1]táj.2!J376</f>
        <v>0</v>
      </c>
      <c r="K376" s="7">
        <f>0+[1]táj.2!K376</f>
        <v>0</v>
      </c>
      <c r="L376" s="7">
        <f>1034+[1]táj.2!L376</f>
        <v>0</v>
      </c>
      <c r="M376" s="7">
        <f>0+[1]táj.2!M376</f>
        <v>0</v>
      </c>
      <c r="N376" s="7">
        <f>0+[1]táj.2!N376</f>
        <v>0</v>
      </c>
      <c r="O376" s="7">
        <f>0+[1]táj.2!O376</f>
        <v>0</v>
      </c>
      <c r="P376" s="7">
        <f>0+[1]táj.2!P376</f>
        <v>0</v>
      </c>
      <c r="Q376" s="7">
        <f>SUM(G376:P376)</f>
        <v>0</v>
      </c>
    </row>
    <row r="377" spans="1:17" ht="17.100000000000001" customHeight="1" x14ac:dyDescent="0.2">
      <c r="A377" s="135"/>
      <c r="B377" s="135"/>
      <c r="C377" s="286" t="s">
        <v>904</v>
      </c>
      <c r="D377" s="200" t="s">
        <v>905</v>
      </c>
      <c r="E377" s="697"/>
      <c r="F377" s="7">
        <v>152341</v>
      </c>
      <c r="G377" s="7">
        <f>0+[1]táj.2!G377</f>
        <v>0</v>
      </c>
      <c r="H377" s="7">
        <f>0+[1]táj.2!H377</f>
        <v>0</v>
      </c>
      <c r="I377" s="7">
        <f>0+[1]táj.2!I377</f>
        <v>0</v>
      </c>
      <c r="J377" s="7">
        <f>0+[1]táj.2!J377</f>
        <v>0</v>
      </c>
      <c r="K377" s="7">
        <f>0+[1]táj.2!K377</f>
        <v>0</v>
      </c>
      <c r="L377" s="7">
        <f>1200+[1]táj.2!L377</f>
        <v>775</v>
      </c>
      <c r="M377" s="7">
        <f>0+[1]táj.2!M377</f>
        <v>0</v>
      </c>
      <c r="N377" s="7">
        <f>0+[1]táj.2!N377</f>
        <v>0</v>
      </c>
      <c r="O377" s="7">
        <f>0+[1]táj.2!O377</f>
        <v>0</v>
      </c>
      <c r="P377" s="7">
        <f>0+[1]táj.2!P377</f>
        <v>0</v>
      </c>
      <c r="Q377" s="7">
        <f>SUM(G377:P377)</f>
        <v>775</v>
      </c>
    </row>
    <row r="378" spans="1:17" ht="17.100000000000001" customHeight="1" x14ac:dyDescent="0.2">
      <c r="A378" s="135"/>
      <c r="B378" s="135"/>
      <c r="C378" s="285" t="s">
        <v>213</v>
      </c>
      <c r="D378" s="288" t="s">
        <v>906</v>
      </c>
      <c r="E378" s="289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17.25" customHeight="1" x14ac:dyDescent="0.2">
      <c r="A379" s="135"/>
      <c r="B379" s="135"/>
      <c r="C379" s="283" t="s">
        <v>907</v>
      </c>
      <c r="D379" s="284" t="s">
        <v>912</v>
      </c>
      <c r="E379" s="289"/>
      <c r="F379" s="7">
        <v>151419</v>
      </c>
      <c r="G379" s="7">
        <f>0+[1]táj.2!G379</f>
        <v>0</v>
      </c>
      <c r="H379" s="7">
        <f>0+[1]táj.2!H379</f>
        <v>0</v>
      </c>
      <c r="I379" s="7">
        <f>270+[1]táj.2!I379</f>
        <v>270</v>
      </c>
      <c r="J379" s="7">
        <f>0+[1]táj.2!J379</f>
        <v>0</v>
      </c>
      <c r="K379" s="7">
        <f>0+[1]táj.2!K379</f>
        <v>0</v>
      </c>
      <c r="L379" s="7">
        <f>0+[1]táj.2!L379</f>
        <v>0</v>
      </c>
      <c r="M379" s="7">
        <f>0+[1]táj.2!M379</f>
        <v>0</v>
      </c>
      <c r="N379" s="7">
        <f>0+[1]táj.2!N379</f>
        <v>0</v>
      </c>
      <c r="O379" s="7">
        <f>0+[1]táj.2!O379</f>
        <v>0</v>
      </c>
      <c r="P379" s="7">
        <f>0+[1]táj.2!P379</f>
        <v>0</v>
      </c>
      <c r="Q379" s="7">
        <f t="shared" ref="Q379:Q439" si="25">SUM(G379:P379)</f>
        <v>270</v>
      </c>
    </row>
    <row r="380" spans="1:17" ht="17.25" customHeight="1" x14ac:dyDescent="0.2">
      <c r="A380" s="135"/>
      <c r="B380" s="135"/>
      <c r="C380" s="283" t="s">
        <v>909</v>
      </c>
      <c r="D380" s="284" t="s">
        <v>914</v>
      </c>
      <c r="E380" s="596"/>
      <c r="F380" s="7">
        <v>155481</v>
      </c>
      <c r="G380" s="7">
        <f>0+[1]táj.2!G380</f>
        <v>0</v>
      </c>
      <c r="H380" s="7">
        <f>0+[1]táj.2!H380</f>
        <v>0</v>
      </c>
      <c r="I380" s="7">
        <f>0+[1]táj.2!I380</f>
        <v>0</v>
      </c>
      <c r="J380" s="7">
        <f>0+[1]táj.2!J380</f>
        <v>0</v>
      </c>
      <c r="K380" s="7">
        <f>0+[1]táj.2!K380</f>
        <v>0</v>
      </c>
      <c r="L380" s="7">
        <f>0+[1]táj.2!L380</f>
        <v>0</v>
      </c>
      <c r="M380" s="7">
        <f>500+[1]táj.2!M380</f>
        <v>0</v>
      </c>
      <c r="N380" s="7">
        <f>0+[1]táj.2!N380</f>
        <v>0</v>
      </c>
      <c r="O380" s="7">
        <f>0+[1]táj.2!O380</f>
        <v>0</v>
      </c>
      <c r="P380" s="7">
        <f>0+[1]táj.2!P380</f>
        <v>0</v>
      </c>
      <c r="Q380" s="7">
        <f t="shared" si="25"/>
        <v>0</v>
      </c>
    </row>
    <row r="381" spans="1:17" ht="29.25" customHeight="1" x14ac:dyDescent="0.2">
      <c r="A381" s="135"/>
      <c r="B381" s="135"/>
      <c r="C381" s="283" t="s">
        <v>911</v>
      </c>
      <c r="D381" s="284" t="s">
        <v>918</v>
      </c>
      <c r="E381" s="596"/>
      <c r="F381" s="7">
        <v>155483</v>
      </c>
      <c r="G381" s="7">
        <f>0+[1]táj.2!G381</f>
        <v>0</v>
      </c>
      <c r="H381" s="7">
        <f>0+[1]táj.2!H381</f>
        <v>0</v>
      </c>
      <c r="I381" s="7">
        <f>0+[1]táj.2!I381</f>
        <v>0</v>
      </c>
      <c r="J381" s="7">
        <f>0+[1]táj.2!J381</f>
        <v>0</v>
      </c>
      <c r="K381" s="7">
        <f>0+[1]táj.2!K381</f>
        <v>0</v>
      </c>
      <c r="L381" s="7">
        <f>0+[1]táj.2!L381</f>
        <v>0</v>
      </c>
      <c r="M381" s="7">
        <f>1800+[1]táj.2!M381</f>
        <v>0</v>
      </c>
      <c r="N381" s="7">
        <f>0+[1]táj.2!N381</f>
        <v>0</v>
      </c>
      <c r="O381" s="7">
        <f>0+[1]táj.2!O381</f>
        <v>0</v>
      </c>
      <c r="P381" s="7">
        <f>0+[1]táj.2!P381</f>
        <v>0</v>
      </c>
      <c r="Q381" s="7">
        <f t="shared" si="25"/>
        <v>0</v>
      </c>
    </row>
    <row r="382" spans="1:17" ht="17.25" customHeight="1" x14ac:dyDescent="0.2">
      <c r="A382" s="135"/>
      <c r="B382" s="135"/>
      <c r="C382" s="283" t="s">
        <v>913</v>
      </c>
      <c r="D382" s="261" t="s">
        <v>920</v>
      </c>
      <c r="E382" s="596"/>
      <c r="F382" s="7">
        <v>155482</v>
      </c>
      <c r="G382" s="7">
        <f>0+[1]táj.2!G382</f>
        <v>0</v>
      </c>
      <c r="H382" s="7">
        <f>0+[1]táj.2!H382</f>
        <v>0</v>
      </c>
      <c r="I382" s="7">
        <f>0+[1]táj.2!I382</f>
        <v>0</v>
      </c>
      <c r="J382" s="7">
        <f>0+[1]táj.2!J382</f>
        <v>0</v>
      </c>
      <c r="K382" s="7">
        <f>0+[1]táj.2!K382</f>
        <v>0</v>
      </c>
      <c r="L382" s="7">
        <f>0+[1]táj.2!L382</f>
        <v>0</v>
      </c>
      <c r="M382" s="7">
        <f>1500+[1]táj.2!M382</f>
        <v>0</v>
      </c>
      <c r="N382" s="7">
        <f>0+[1]táj.2!N382</f>
        <v>0</v>
      </c>
      <c r="O382" s="7">
        <f>0+[1]táj.2!O382</f>
        <v>0</v>
      </c>
      <c r="P382" s="7">
        <f>0+[1]táj.2!P382</f>
        <v>0</v>
      </c>
      <c r="Q382" s="7">
        <f t="shared" si="25"/>
        <v>0</v>
      </c>
    </row>
    <row r="383" spans="1:17" ht="17.25" customHeight="1" x14ac:dyDescent="0.2">
      <c r="A383" s="135"/>
      <c r="B383" s="135"/>
      <c r="C383" s="283" t="s">
        <v>915</v>
      </c>
      <c r="D383" s="698" t="s">
        <v>922</v>
      </c>
      <c r="E383" s="596"/>
      <c r="F383" s="7">
        <v>152420</v>
      </c>
      <c r="G383" s="7">
        <f>0+[1]táj.2!G383</f>
        <v>0</v>
      </c>
      <c r="H383" s="7">
        <f>0+[1]táj.2!H383</f>
        <v>0</v>
      </c>
      <c r="I383" s="7">
        <f>0+[1]táj.2!I383</f>
        <v>0</v>
      </c>
      <c r="J383" s="7">
        <f>0+[1]táj.2!J383</f>
        <v>0</v>
      </c>
      <c r="K383" s="7">
        <f>0+[1]táj.2!K383</f>
        <v>0</v>
      </c>
      <c r="L383" s="7">
        <f>2500+[1]táj.2!L383</f>
        <v>0</v>
      </c>
      <c r="M383" s="7">
        <f>0+[1]táj.2!M383</f>
        <v>0</v>
      </c>
      <c r="N383" s="7">
        <f>0+[1]táj.2!N383</f>
        <v>0</v>
      </c>
      <c r="O383" s="7">
        <f>0+[1]táj.2!O383</f>
        <v>0</v>
      </c>
      <c r="P383" s="7">
        <f>0+[1]táj.2!P383</f>
        <v>0</v>
      </c>
      <c r="Q383" s="7">
        <f t="shared" si="25"/>
        <v>0</v>
      </c>
    </row>
    <row r="384" spans="1:17" ht="29.25" customHeight="1" x14ac:dyDescent="0.2">
      <c r="A384" s="135"/>
      <c r="B384" s="135"/>
      <c r="C384" s="283" t="s">
        <v>917</v>
      </c>
      <c r="D384" s="698" t="s">
        <v>924</v>
      </c>
      <c r="E384" s="596"/>
      <c r="F384" s="7">
        <v>155484</v>
      </c>
      <c r="G384" s="7">
        <f>0+[1]táj.2!G384</f>
        <v>0</v>
      </c>
      <c r="H384" s="7">
        <f>0+[1]táj.2!H384</f>
        <v>0</v>
      </c>
      <c r="I384" s="7">
        <f>0+[1]táj.2!I384</f>
        <v>0</v>
      </c>
      <c r="J384" s="7">
        <f>0+[1]táj.2!J384</f>
        <v>0</v>
      </c>
      <c r="K384" s="7">
        <f>0+[1]táj.2!K384</f>
        <v>0</v>
      </c>
      <c r="L384" s="7">
        <f>0+[1]táj.2!L384</f>
        <v>0</v>
      </c>
      <c r="M384" s="7">
        <f>3000+[1]táj.2!M384</f>
        <v>0</v>
      </c>
      <c r="N384" s="7">
        <f>0+[1]táj.2!N384</f>
        <v>0</v>
      </c>
      <c r="O384" s="7">
        <f>0+[1]táj.2!O384</f>
        <v>0</v>
      </c>
      <c r="P384" s="7">
        <f>0+[1]táj.2!P384</f>
        <v>0</v>
      </c>
      <c r="Q384" s="7">
        <f t="shared" si="25"/>
        <v>0</v>
      </c>
    </row>
    <row r="385" spans="1:17" ht="17.25" customHeight="1" x14ac:dyDescent="0.2">
      <c r="A385" s="135"/>
      <c r="B385" s="135"/>
      <c r="C385" s="283" t="s">
        <v>919</v>
      </c>
      <c r="D385" s="284" t="s">
        <v>927</v>
      </c>
      <c r="E385" s="596"/>
      <c r="F385" s="7">
        <v>152489</v>
      </c>
      <c r="G385" s="7">
        <f>0+[1]táj.2!G385</f>
        <v>0</v>
      </c>
      <c r="H385" s="7">
        <f>0+[1]táj.2!H385</f>
        <v>0</v>
      </c>
      <c r="I385" s="7">
        <f>0+[1]táj.2!I385</f>
        <v>0</v>
      </c>
      <c r="J385" s="7">
        <f>0+[1]táj.2!J385</f>
        <v>0</v>
      </c>
      <c r="K385" s="7">
        <f>0+[1]táj.2!K385</f>
        <v>0</v>
      </c>
      <c r="L385" s="7">
        <f>3000+[1]táj.2!L385</f>
        <v>0</v>
      </c>
      <c r="M385" s="7">
        <f>0+[1]táj.2!M385</f>
        <v>0</v>
      </c>
      <c r="N385" s="7">
        <f>0+[1]táj.2!N385</f>
        <v>0</v>
      </c>
      <c r="O385" s="7">
        <f>0+[1]táj.2!O385</f>
        <v>0</v>
      </c>
      <c r="P385" s="7">
        <f>0+[1]táj.2!P385</f>
        <v>0</v>
      </c>
      <c r="Q385" s="7">
        <f t="shared" si="25"/>
        <v>0</v>
      </c>
    </row>
    <row r="386" spans="1:17" ht="17.25" customHeight="1" x14ac:dyDescent="0.2">
      <c r="A386" s="135"/>
      <c r="B386" s="135"/>
      <c r="C386" s="283" t="s">
        <v>921</v>
      </c>
      <c r="D386" s="284" t="s">
        <v>929</v>
      </c>
      <c r="E386" s="187"/>
      <c r="F386" s="7">
        <v>155485</v>
      </c>
      <c r="G386" s="7">
        <f>0+[1]táj.2!G386</f>
        <v>0</v>
      </c>
      <c r="H386" s="7">
        <f>0+[1]táj.2!H386</f>
        <v>0</v>
      </c>
      <c r="I386" s="7">
        <f>0+[1]táj.2!I386</f>
        <v>0</v>
      </c>
      <c r="J386" s="7">
        <f>0+[1]táj.2!J386</f>
        <v>0</v>
      </c>
      <c r="K386" s="7">
        <f>0+[1]táj.2!K386</f>
        <v>0</v>
      </c>
      <c r="L386" s="7">
        <f>0+[1]táj.2!L386</f>
        <v>0</v>
      </c>
      <c r="M386" s="7">
        <f>5500+[1]táj.2!M386</f>
        <v>0</v>
      </c>
      <c r="N386" s="7">
        <f>0+[1]táj.2!N386</f>
        <v>0</v>
      </c>
      <c r="O386" s="7">
        <f>0+[1]táj.2!O386</f>
        <v>0</v>
      </c>
      <c r="P386" s="7">
        <f>0+[1]táj.2!P386</f>
        <v>0</v>
      </c>
      <c r="Q386" s="7">
        <f t="shared" si="25"/>
        <v>0</v>
      </c>
    </row>
    <row r="387" spans="1:17" ht="23.25" customHeight="1" x14ac:dyDescent="0.2">
      <c r="A387" s="135"/>
      <c r="B387" s="135"/>
      <c r="C387" s="283" t="s">
        <v>923</v>
      </c>
      <c r="D387" s="284" t="s">
        <v>931</v>
      </c>
      <c r="E387" s="187"/>
      <c r="F387" s="7">
        <v>152490</v>
      </c>
      <c r="G387" s="7">
        <f>0+[1]táj.2!G387</f>
        <v>0</v>
      </c>
      <c r="H387" s="7">
        <f>0+[1]táj.2!H387</f>
        <v>0</v>
      </c>
      <c r="I387" s="7">
        <f>0+[1]táj.2!I387</f>
        <v>0</v>
      </c>
      <c r="J387" s="7">
        <f>0+[1]táj.2!J387</f>
        <v>0</v>
      </c>
      <c r="K387" s="7">
        <f>0+[1]táj.2!K387</f>
        <v>0</v>
      </c>
      <c r="L387" s="7">
        <f>3332+[1]táj.2!L387</f>
        <v>3332</v>
      </c>
      <c r="M387" s="7">
        <f>0+[1]táj.2!M387</f>
        <v>0</v>
      </c>
      <c r="N387" s="7">
        <f>0+[1]táj.2!N387</f>
        <v>0</v>
      </c>
      <c r="O387" s="7">
        <f>0+[1]táj.2!O387</f>
        <v>0</v>
      </c>
      <c r="P387" s="7">
        <f>0+[1]táj.2!P387</f>
        <v>0</v>
      </c>
      <c r="Q387" s="7">
        <f t="shared" si="25"/>
        <v>3332</v>
      </c>
    </row>
    <row r="388" spans="1:17" ht="16.5" customHeight="1" x14ac:dyDescent="0.2">
      <c r="A388" s="135"/>
      <c r="B388" s="135"/>
      <c r="C388" s="283" t="s">
        <v>925</v>
      </c>
      <c r="D388" s="698" t="s">
        <v>941</v>
      </c>
      <c r="E388" s="187"/>
      <c r="F388" s="7">
        <v>155489</v>
      </c>
      <c r="G388" s="7">
        <f>0+[1]táj.2!G388</f>
        <v>0</v>
      </c>
      <c r="H388" s="7">
        <f>0+[1]táj.2!H388</f>
        <v>0</v>
      </c>
      <c r="I388" s="7">
        <f>0+[1]táj.2!I388</f>
        <v>0</v>
      </c>
      <c r="J388" s="7">
        <f>0+[1]táj.2!J388</f>
        <v>0</v>
      </c>
      <c r="K388" s="7">
        <f>0+[1]táj.2!K388</f>
        <v>0</v>
      </c>
      <c r="L388" s="7">
        <f>0+[1]táj.2!L388</f>
        <v>0</v>
      </c>
      <c r="M388" s="7">
        <f>3000+[1]táj.2!M388</f>
        <v>0</v>
      </c>
      <c r="N388" s="7">
        <f>0+[1]táj.2!N388</f>
        <v>0</v>
      </c>
      <c r="O388" s="7">
        <f>0+[1]táj.2!O388</f>
        <v>0</v>
      </c>
      <c r="P388" s="7">
        <f>0+[1]táj.2!P388</f>
        <v>0</v>
      </c>
      <c r="Q388" s="7">
        <f t="shared" si="25"/>
        <v>0</v>
      </c>
    </row>
    <row r="389" spans="1:17" ht="16.5" customHeight="1" x14ac:dyDescent="0.2">
      <c r="A389" s="135"/>
      <c r="B389" s="135"/>
      <c r="C389" s="283" t="s">
        <v>926</v>
      </c>
      <c r="D389" s="284" t="s">
        <v>98</v>
      </c>
      <c r="E389" s="187"/>
      <c r="F389" s="7">
        <v>151420</v>
      </c>
      <c r="G389" s="7">
        <f>0+[1]táj.2!G389</f>
        <v>0</v>
      </c>
      <c r="H389" s="7">
        <f>0+[1]táj.2!H389</f>
        <v>0</v>
      </c>
      <c r="I389" s="7">
        <f>602+[1]táj.2!I389</f>
        <v>602</v>
      </c>
      <c r="J389" s="7">
        <f>0+[1]táj.2!J389</f>
        <v>0</v>
      </c>
      <c r="K389" s="7">
        <f>0+[1]táj.2!K389</f>
        <v>0</v>
      </c>
      <c r="L389" s="7">
        <f>0+[1]táj.2!L389</f>
        <v>0</v>
      </c>
      <c r="M389" s="7">
        <f>0+[1]táj.2!M389</f>
        <v>0</v>
      </c>
      <c r="N389" s="7">
        <f>0+[1]táj.2!N389</f>
        <v>0</v>
      </c>
      <c r="O389" s="7">
        <f>0+[1]táj.2!O389</f>
        <v>0</v>
      </c>
      <c r="P389" s="7">
        <f>0+[1]táj.2!P389</f>
        <v>0</v>
      </c>
      <c r="Q389" s="7">
        <f t="shared" si="25"/>
        <v>602</v>
      </c>
    </row>
    <row r="390" spans="1:17" ht="28.5" customHeight="1" x14ac:dyDescent="0.2">
      <c r="A390" s="135"/>
      <c r="B390" s="135"/>
      <c r="C390" s="283" t="s">
        <v>928</v>
      </c>
      <c r="D390" s="284" t="s">
        <v>946</v>
      </c>
      <c r="E390" s="289"/>
      <c r="F390" s="7">
        <v>155490</v>
      </c>
      <c r="G390" s="7">
        <f>0+[1]táj.2!G390</f>
        <v>0</v>
      </c>
      <c r="H390" s="7">
        <f>0+[1]táj.2!H390</f>
        <v>0</v>
      </c>
      <c r="I390" s="7">
        <f>0+[1]táj.2!I390</f>
        <v>0</v>
      </c>
      <c r="J390" s="7">
        <f>0+[1]táj.2!J390</f>
        <v>0</v>
      </c>
      <c r="K390" s="7">
        <f>0+[1]táj.2!K390</f>
        <v>0</v>
      </c>
      <c r="L390" s="7">
        <f>0+[1]táj.2!L390</f>
        <v>0</v>
      </c>
      <c r="M390" s="7">
        <f>6634+[1]táj.2!M390</f>
        <v>0</v>
      </c>
      <c r="N390" s="7">
        <f>0+[1]táj.2!N390</f>
        <v>0</v>
      </c>
      <c r="O390" s="7">
        <f>0+[1]táj.2!O390</f>
        <v>0</v>
      </c>
      <c r="P390" s="7">
        <f>0+[1]táj.2!P390</f>
        <v>0</v>
      </c>
      <c r="Q390" s="7">
        <f t="shared" si="25"/>
        <v>0</v>
      </c>
    </row>
    <row r="391" spans="1:17" ht="29.25" customHeight="1" x14ac:dyDescent="0.2">
      <c r="A391" s="135"/>
      <c r="B391" s="135"/>
      <c r="C391" s="283" t="s">
        <v>930</v>
      </c>
      <c r="D391" s="261" t="s">
        <v>948</v>
      </c>
      <c r="E391" s="596"/>
      <c r="F391" s="7">
        <v>155491</v>
      </c>
      <c r="G391" s="7">
        <f>0+[1]táj.2!G391</f>
        <v>0</v>
      </c>
      <c r="H391" s="7">
        <f>0+[1]táj.2!H391</f>
        <v>0</v>
      </c>
      <c r="I391" s="7">
        <f>0+[1]táj.2!I391</f>
        <v>0</v>
      </c>
      <c r="J391" s="7">
        <f>0+[1]táj.2!J391</f>
        <v>0</v>
      </c>
      <c r="K391" s="7">
        <f>0+[1]táj.2!K391</f>
        <v>0</v>
      </c>
      <c r="L391" s="7">
        <f>0+[1]táj.2!L391</f>
        <v>0</v>
      </c>
      <c r="M391" s="7">
        <f>2000+[1]táj.2!M391</f>
        <v>0</v>
      </c>
      <c r="N391" s="7">
        <f>0+[1]táj.2!N391</f>
        <v>0</v>
      </c>
      <c r="O391" s="7">
        <f>0+[1]táj.2!O391</f>
        <v>0</v>
      </c>
      <c r="P391" s="7">
        <f>0+[1]táj.2!P391</f>
        <v>0</v>
      </c>
      <c r="Q391" s="7">
        <f t="shared" si="25"/>
        <v>0</v>
      </c>
    </row>
    <row r="392" spans="1:17" ht="17.100000000000001" customHeight="1" x14ac:dyDescent="0.2">
      <c r="A392" s="135"/>
      <c r="B392" s="135"/>
      <c r="C392" s="283" t="s">
        <v>932</v>
      </c>
      <c r="D392" s="200" t="s">
        <v>950</v>
      </c>
      <c r="E392" s="596"/>
      <c r="F392" s="7">
        <v>154468</v>
      </c>
      <c r="G392" s="7">
        <f>0+[1]táj.2!G392</f>
        <v>0</v>
      </c>
      <c r="H392" s="7">
        <f>0+[1]táj.2!H392</f>
        <v>0</v>
      </c>
      <c r="I392" s="7">
        <f>0+[1]táj.2!I392</f>
        <v>0</v>
      </c>
      <c r="J392" s="7">
        <f>0+[1]táj.2!J392</f>
        <v>0</v>
      </c>
      <c r="K392" s="7">
        <f>0+[1]táj.2!K392</f>
        <v>0</v>
      </c>
      <c r="L392" s="7">
        <f>0+[1]táj.2!L392</f>
        <v>0</v>
      </c>
      <c r="M392" s="7">
        <f>2468+[1]táj.2!M392</f>
        <v>0</v>
      </c>
      <c r="N392" s="7">
        <f>0+[1]táj.2!N392</f>
        <v>0</v>
      </c>
      <c r="O392" s="7">
        <f>0+[1]táj.2!O392</f>
        <v>0</v>
      </c>
      <c r="P392" s="7">
        <f>0+[1]táj.2!P392</f>
        <v>0</v>
      </c>
      <c r="Q392" s="7">
        <f t="shared" si="25"/>
        <v>0</v>
      </c>
    </row>
    <row r="393" spans="1:17" ht="17.100000000000001" customHeight="1" x14ac:dyDescent="0.2">
      <c r="A393" s="135"/>
      <c r="B393" s="135"/>
      <c r="C393" s="283" t="s">
        <v>934</v>
      </c>
      <c r="D393" s="698" t="s">
        <v>954</v>
      </c>
      <c r="E393" s="596"/>
      <c r="F393" s="7">
        <v>155492</v>
      </c>
      <c r="G393" s="7">
        <f>0+[1]táj.2!G393</f>
        <v>0</v>
      </c>
      <c r="H393" s="7">
        <f>0+[1]táj.2!H393</f>
        <v>0</v>
      </c>
      <c r="I393" s="7">
        <f>0+[1]táj.2!I393</f>
        <v>0</v>
      </c>
      <c r="J393" s="7">
        <f>0+[1]táj.2!J393</f>
        <v>0</v>
      </c>
      <c r="K393" s="7">
        <f>0+[1]táj.2!K393</f>
        <v>0</v>
      </c>
      <c r="L393" s="7">
        <f>0+[1]táj.2!L393</f>
        <v>0</v>
      </c>
      <c r="M393" s="7">
        <f>3500+[1]táj.2!M393</f>
        <v>0</v>
      </c>
      <c r="N393" s="7">
        <f>0+[1]táj.2!N393</f>
        <v>0</v>
      </c>
      <c r="O393" s="7">
        <f>0+[1]táj.2!O393</f>
        <v>0</v>
      </c>
      <c r="P393" s="7">
        <f>0+[1]táj.2!P393</f>
        <v>0</v>
      </c>
      <c r="Q393" s="7">
        <f t="shared" si="25"/>
        <v>0</v>
      </c>
    </row>
    <row r="394" spans="1:17" ht="17.100000000000001" customHeight="1" x14ac:dyDescent="0.2">
      <c r="A394" s="135"/>
      <c r="B394" s="135"/>
      <c r="C394" s="283" t="s">
        <v>936</v>
      </c>
      <c r="D394" s="284" t="s">
        <v>957</v>
      </c>
      <c r="E394" s="596"/>
      <c r="F394" s="7">
        <v>154471</v>
      </c>
      <c r="G394" s="7">
        <f>0+[1]táj.2!G394</f>
        <v>0</v>
      </c>
      <c r="H394" s="7">
        <f>0+[1]táj.2!H394</f>
        <v>0</v>
      </c>
      <c r="I394" s="7">
        <f>0+[1]táj.2!I394</f>
        <v>0</v>
      </c>
      <c r="J394" s="7">
        <f>0+[1]táj.2!J394</f>
        <v>0</v>
      </c>
      <c r="K394" s="7">
        <f>0+[1]táj.2!K394</f>
        <v>0</v>
      </c>
      <c r="L394" s="7">
        <f>0+[1]táj.2!L394</f>
        <v>0</v>
      </c>
      <c r="M394" s="7">
        <f>2300+[1]táj.2!M394</f>
        <v>0</v>
      </c>
      <c r="N394" s="7">
        <f>0+[1]táj.2!N394</f>
        <v>0</v>
      </c>
      <c r="O394" s="7">
        <f>0+[1]táj.2!O394</f>
        <v>0</v>
      </c>
      <c r="P394" s="7">
        <f>0+[1]táj.2!P394</f>
        <v>0</v>
      </c>
      <c r="Q394" s="7">
        <f t="shared" si="25"/>
        <v>0</v>
      </c>
    </row>
    <row r="395" spans="1:17" ht="17.100000000000001" customHeight="1" x14ac:dyDescent="0.2">
      <c r="A395" s="135"/>
      <c r="B395" s="135"/>
      <c r="C395" s="283" t="s">
        <v>938</v>
      </c>
      <c r="D395" s="284" t="s">
        <v>959</v>
      </c>
      <c r="E395" s="596"/>
      <c r="F395" s="7">
        <v>155494</v>
      </c>
      <c r="G395" s="7">
        <f>0+[1]táj.2!G395</f>
        <v>0</v>
      </c>
      <c r="H395" s="7">
        <f>0+[1]táj.2!H395</f>
        <v>0</v>
      </c>
      <c r="I395" s="7">
        <f>0+[1]táj.2!I395</f>
        <v>0</v>
      </c>
      <c r="J395" s="7">
        <f>0+[1]táj.2!J395</f>
        <v>0</v>
      </c>
      <c r="K395" s="7">
        <f>0+[1]táj.2!K395</f>
        <v>0</v>
      </c>
      <c r="L395" s="7">
        <f>0+[1]táj.2!L395</f>
        <v>0</v>
      </c>
      <c r="M395" s="7">
        <f>3000+[1]táj.2!M395</f>
        <v>0</v>
      </c>
      <c r="N395" s="7">
        <f>0+[1]táj.2!N395</f>
        <v>0</v>
      </c>
      <c r="O395" s="7">
        <f>0+[1]táj.2!O395</f>
        <v>0</v>
      </c>
      <c r="P395" s="7">
        <f>0+[1]táj.2!P395</f>
        <v>0</v>
      </c>
      <c r="Q395" s="7">
        <f t="shared" si="25"/>
        <v>0</v>
      </c>
    </row>
    <row r="396" spans="1:17" ht="17.100000000000001" customHeight="1" x14ac:dyDescent="0.2">
      <c r="A396" s="135"/>
      <c r="B396" s="135"/>
      <c r="C396" s="283" t="s">
        <v>940</v>
      </c>
      <c r="D396" s="261" t="s">
        <v>963</v>
      </c>
      <c r="E396" s="596"/>
      <c r="F396" s="7">
        <v>152495</v>
      </c>
      <c r="G396" s="7">
        <f>0+[1]táj.2!G396</f>
        <v>0</v>
      </c>
      <c r="H396" s="7">
        <f>0+[1]táj.2!H396</f>
        <v>0</v>
      </c>
      <c r="I396" s="7">
        <f>0+[1]táj.2!I396</f>
        <v>0</v>
      </c>
      <c r="J396" s="7">
        <f>0+[1]táj.2!J396</f>
        <v>0</v>
      </c>
      <c r="K396" s="7">
        <f>0+[1]táj.2!K396</f>
        <v>0</v>
      </c>
      <c r="L396" s="7">
        <f>5000+[1]táj.2!L396</f>
        <v>0</v>
      </c>
      <c r="M396" s="7">
        <f>0+[1]táj.2!M396</f>
        <v>0</v>
      </c>
      <c r="N396" s="7">
        <f>0+[1]táj.2!N396</f>
        <v>0</v>
      </c>
      <c r="O396" s="7">
        <f>0+[1]táj.2!O396</f>
        <v>0</v>
      </c>
      <c r="P396" s="7">
        <f>0+[1]táj.2!P396</f>
        <v>0</v>
      </c>
      <c r="Q396" s="7">
        <f t="shared" si="25"/>
        <v>0</v>
      </c>
    </row>
    <row r="397" spans="1:17" ht="17.100000000000001" customHeight="1" x14ac:dyDescent="0.2">
      <c r="A397" s="135"/>
      <c r="B397" s="135"/>
      <c r="C397" s="283" t="s">
        <v>942</v>
      </c>
      <c r="D397" s="284" t="s">
        <v>965</v>
      </c>
      <c r="E397" s="596"/>
      <c r="F397" s="7">
        <v>152496</v>
      </c>
      <c r="G397" s="7">
        <f>0+[1]táj.2!G397</f>
        <v>0</v>
      </c>
      <c r="H397" s="7">
        <f>0+[1]táj.2!H397</f>
        <v>0</v>
      </c>
      <c r="I397" s="7">
        <f>0+[1]táj.2!I397</f>
        <v>0</v>
      </c>
      <c r="J397" s="7">
        <f>0+[1]táj.2!J397</f>
        <v>0</v>
      </c>
      <c r="K397" s="7">
        <f>0+[1]táj.2!K397</f>
        <v>0</v>
      </c>
      <c r="L397" s="7">
        <f>5000+[1]táj.2!L397</f>
        <v>0</v>
      </c>
      <c r="M397" s="7">
        <f>0+[1]táj.2!M397</f>
        <v>0</v>
      </c>
      <c r="N397" s="7">
        <f>0+[1]táj.2!N397</f>
        <v>0</v>
      </c>
      <c r="O397" s="7">
        <f>0+[1]táj.2!O397</f>
        <v>0</v>
      </c>
      <c r="P397" s="7">
        <f>0+[1]táj.2!P397</f>
        <v>0</v>
      </c>
      <c r="Q397" s="7">
        <f t="shared" si="25"/>
        <v>0</v>
      </c>
    </row>
    <row r="398" spans="1:17" ht="17.100000000000001" customHeight="1" x14ac:dyDescent="0.2">
      <c r="A398" s="135"/>
      <c r="B398" s="135"/>
      <c r="C398" s="283" t="s">
        <v>944</v>
      </c>
      <c r="D398" s="284" t="s">
        <v>973</v>
      </c>
      <c r="E398" s="596"/>
      <c r="F398" s="7">
        <v>152499</v>
      </c>
      <c r="G398" s="7">
        <f>0+[1]táj.2!G398</f>
        <v>0</v>
      </c>
      <c r="H398" s="7">
        <f>0+[1]táj.2!H398</f>
        <v>0</v>
      </c>
      <c r="I398" s="7">
        <f>0+[1]táj.2!I398</f>
        <v>0</v>
      </c>
      <c r="J398" s="7">
        <f>0+[1]táj.2!J398</f>
        <v>0</v>
      </c>
      <c r="K398" s="7">
        <f>0+[1]táj.2!K398</f>
        <v>0</v>
      </c>
      <c r="L398" s="7">
        <f>2000+[1]táj.2!L398</f>
        <v>0</v>
      </c>
      <c r="M398" s="7">
        <f>0+[1]táj.2!M398</f>
        <v>0</v>
      </c>
      <c r="N398" s="7">
        <f>0+[1]táj.2!N398</f>
        <v>0</v>
      </c>
      <c r="O398" s="7">
        <f>0+[1]táj.2!O398</f>
        <v>0</v>
      </c>
      <c r="P398" s="7">
        <f>0+[1]táj.2!P398</f>
        <v>0</v>
      </c>
      <c r="Q398" s="7">
        <f t="shared" si="25"/>
        <v>0</v>
      </c>
    </row>
    <row r="399" spans="1:17" ht="17.100000000000001" customHeight="1" x14ac:dyDescent="0.2">
      <c r="A399" s="135"/>
      <c r="B399" s="135"/>
      <c r="C399" s="283" t="s">
        <v>945</v>
      </c>
      <c r="D399" s="452" t="s">
        <v>975</v>
      </c>
      <c r="E399" s="596"/>
      <c r="F399" s="7">
        <v>155496</v>
      </c>
      <c r="G399" s="7">
        <f>0+[1]táj.2!G399</f>
        <v>0</v>
      </c>
      <c r="H399" s="7">
        <f>0+[1]táj.2!H399</f>
        <v>0</v>
      </c>
      <c r="I399" s="7">
        <f>0+[1]táj.2!I399</f>
        <v>0</v>
      </c>
      <c r="J399" s="7">
        <f>0+[1]táj.2!J399</f>
        <v>0</v>
      </c>
      <c r="K399" s="7">
        <f>0+[1]táj.2!K399</f>
        <v>0</v>
      </c>
      <c r="L399" s="7">
        <f>0+[1]táj.2!L399</f>
        <v>0</v>
      </c>
      <c r="M399" s="7">
        <f>2000+[1]táj.2!M399</f>
        <v>1200</v>
      </c>
      <c r="N399" s="7">
        <f>0+[1]táj.2!N399</f>
        <v>0</v>
      </c>
      <c r="O399" s="7">
        <f>0+[1]táj.2!O399</f>
        <v>0</v>
      </c>
      <c r="P399" s="7">
        <f>0+[1]táj.2!P399</f>
        <v>0</v>
      </c>
      <c r="Q399" s="7">
        <f t="shared" si="25"/>
        <v>1200</v>
      </c>
    </row>
    <row r="400" spans="1:17" ht="25.5" customHeight="1" x14ac:dyDescent="0.2">
      <c r="A400" s="135"/>
      <c r="B400" s="135"/>
      <c r="C400" s="283" t="s">
        <v>947</v>
      </c>
      <c r="D400" s="284" t="s">
        <v>981</v>
      </c>
      <c r="E400" s="596"/>
      <c r="F400" s="7">
        <v>155497</v>
      </c>
      <c r="G400" s="7">
        <f>0+[1]táj.2!G400</f>
        <v>0</v>
      </c>
      <c r="H400" s="7">
        <f>0+[1]táj.2!H400</f>
        <v>0</v>
      </c>
      <c r="I400" s="7">
        <f>0+[1]táj.2!I400</f>
        <v>0</v>
      </c>
      <c r="J400" s="7">
        <f>0+[1]táj.2!J400</f>
        <v>0</v>
      </c>
      <c r="K400" s="7">
        <f>0+[1]táj.2!K400</f>
        <v>0</v>
      </c>
      <c r="L400" s="7">
        <f>0+[1]táj.2!L400</f>
        <v>0</v>
      </c>
      <c r="M400" s="7">
        <f>1500+[1]táj.2!M400</f>
        <v>0</v>
      </c>
      <c r="N400" s="7">
        <f>0+[1]táj.2!N400</f>
        <v>0</v>
      </c>
      <c r="O400" s="7">
        <f>0+[1]táj.2!O400</f>
        <v>0</v>
      </c>
      <c r="P400" s="7">
        <f>0+[1]táj.2!P400</f>
        <v>0</v>
      </c>
      <c r="Q400" s="7">
        <f t="shared" si="25"/>
        <v>0</v>
      </c>
    </row>
    <row r="401" spans="1:17" ht="27" customHeight="1" x14ac:dyDescent="0.2">
      <c r="A401" s="135"/>
      <c r="B401" s="135"/>
      <c r="C401" s="283" t="s">
        <v>949</v>
      </c>
      <c r="D401" s="284" t="s">
        <v>987</v>
      </c>
      <c r="E401" s="596"/>
      <c r="F401" s="7">
        <v>152425</v>
      </c>
      <c r="G401" s="7">
        <f>0+[1]táj.2!G401</f>
        <v>0</v>
      </c>
      <c r="H401" s="7">
        <f>0+[1]táj.2!H401</f>
        <v>0</v>
      </c>
      <c r="I401" s="7">
        <f>0+[1]táj.2!I401</f>
        <v>0</v>
      </c>
      <c r="J401" s="7">
        <f>0+[1]táj.2!J401</f>
        <v>0</v>
      </c>
      <c r="K401" s="7">
        <f>0+[1]táj.2!K401</f>
        <v>0</v>
      </c>
      <c r="L401" s="7">
        <f>1000+[1]táj.2!L401</f>
        <v>0</v>
      </c>
      <c r="M401" s="7">
        <f>0+[1]táj.2!M401</f>
        <v>0</v>
      </c>
      <c r="N401" s="7">
        <f>0+[1]táj.2!N401</f>
        <v>0</v>
      </c>
      <c r="O401" s="7">
        <f>0+[1]táj.2!O401</f>
        <v>0</v>
      </c>
      <c r="P401" s="7">
        <f>0+[1]táj.2!P401</f>
        <v>0</v>
      </c>
      <c r="Q401" s="7">
        <f t="shared" si="25"/>
        <v>0</v>
      </c>
    </row>
    <row r="402" spans="1:17" ht="30" customHeight="1" x14ac:dyDescent="0.2">
      <c r="A402" s="135"/>
      <c r="B402" s="135"/>
      <c r="C402" s="283" t="s">
        <v>951</v>
      </c>
      <c r="D402" s="284" t="s">
        <v>989</v>
      </c>
      <c r="E402" s="596"/>
      <c r="F402" s="7">
        <v>155498</v>
      </c>
      <c r="G402" s="7">
        <f>0+[1]táj.2!G402</f>
        <v>0</v>
      </c>
      <c r="H402" s="7">
        <f>0+[1]táj.2!H402</f>
        <v>0</v>
      </c>
      <c r="I402" s="7">
        <f>0+[1]táj.2!I402</f>
        <v>0</v>
      </c>
      <c r="J402" s="7">
        <f>0+[1]táj.2!J402</f>
        <v>0</v>
      </c>
      <c r="K402" s="7">
        <f>0+[1]táj.2!K402</f>
        <v>0</v>
      </c>
      <c r="L402" s="7">
        <f>0+[1]táj.2!L402</f>
        <v>0</v>
      </c>
      <c r="M402" s="7">
        <f>1000+[1]táj.2!M402</f>
        <v>0</v>
      </c>
      <c r="N402" s="7">
        <f>0+[1]táj.2!N402</f>
        <v>0</v>
      </c>
      <c r="O402" s="7">
        <f>0+[1]táj.2!O402</f>
        <v>0</v>
      </c>
      <c r="P402" s="7">
        <f>0+[1]táj.2!P402</f>
        <v>0</v>
      </c>
      <c r="Q402" s="7">
        <f t="shared" si="25"/>
        <v>0</v>
      </c>
    </row>
    <row r="403" spans="1:17" ht="16.5" customHeight="1" x14ac:dyDescent="0.2">
      <c r="A403" s="135"/>
      <c r="B403" s="135"/>
      <c r="C403" s="283" t="s">
        <v>953</v>
      </c>
      <c r="D403" s="284" t="s">
        <v>991</v>
      </c>
      <c r="E403" s="596"/>
      <c r="F403" s="7">
        <v>155499</v>
      </c>
      <c r="G403" s="7">
        <f>0+[1]táj.2!G403</f>
        <v>0</v>
      </c>
      <c r="H403" s="7">
        <f>0+[1]táj.2!H403</f>
        <v>0</v>
      </c>
      <c r="I403" s="7">
        <f>0+[1]táj.2!I403</f>
        <v>0</v>
      </c>
      <c r="J403" s="7">
        <f>0+[1]táj.2!J403</f>
        <v>0</v>
      </c>
      <c r="K403" s="7">
        <f>0+[1]táj.2!K403</f>
        <v>0</v>
      </c>
      <c r="L403" s="7">
        <f>0+[1]táj.2!L403</f>
        <v>0</v>
      </c>
      <c r="M403" s="7">
        <f>1226+[1]táj.2!M403</f>
        <v>1226</v>
      </c>
      <c r="N403" s="7">
        <f>0+[1]táj.2!N403</f>
        <v>0</v>
      </c>
      <c r="O403" s="7">
        <f>0+[1]táj.2!O403</f>
        <v>0</v>
      </c>
      <c r="P403" s="7">
        <f>0+[1]táj.2!P403</f>
        <v>0</v>
      </c>
      <c r="Q403" s="7">
        <f t="shared" si="25"/>
        <v>1226</v>
      </c>
    </row>
    <row r="404" spans="1:17" ht="16.5" customHeight="1" x14ac:dyDescent="0.2">
      <c r="A404" s="135"/>
      <c r="B404" s="135"/>
      <c r="C404" s="283" t="s">
        <v>955</v>
      </c>
      <c r="D404" s="284" t="s">
        <v>993</v>
      </c>
      <c r="E404" s="596"/>
      <c r="F404" s="7">
        <v>155404</v>
      </c>
      <c r="G404" s="7">
        <f>0+[1]táj.2!G404</f>
        <v>0</v>
      </c>
      <c r="H404" s="7">
        <f>0+[1]táj.2!H404</f>
        <v>0</v>
      </c>
      <c r="I404" s="7">
        <f>0+[1]táj.2!I404</f>
        <v>0</v>
      </c>
      <c r="J404" s="7">
        <f>0+[1]táj.2!J404</f>
        <v>0</v>
      </c>
      <c r="K404" s="7">
        <f>0+[1]táj.2!K404</f>
        <v>0</v>
      </c>
      <c r="L404" s="7">
        <f>0+[1]táj.2!L404</f>
        <v>0</v>
      </c>
      <c r="M404" s="7">
        <f>300+[1]táj.2!M404</f>
        <v>0</v>
      </c>
      <c r="N404" s="7">
        <f>0+[1]táj.2!N404</f>
        <v>0</v>
      </c>
      <c r="O404" s="7">
        <f>0+[1]táj.2!O404</f>
        <v>0</v>
      </c>
      <c r="P404" s="7">
        <f>0+[1]táj.2!P404</f>
        <v>0</v>
      </c>
      <c r="Q404" s="7">
        <f t="shared" si="25"/>
        <v>0</v>
      </c>
    </row>
    <row r="405" spans="1:17" ht="16.5" customHeight="1" x14ac:dyDescent="0.2">
      <c r="A405" s="135"/>
      <c r="B405" s="135"/>
      <c r="C405" s="283" t="s">
        <v>956</v>
      </c>
      <c r="D405" s="698" t="s">
        <v>995</v>
      </c>
      <c r="E405" s="596"/>
      <c r="F405" s="7">
        <v>155403</v>
      </c>
      <c r="G405" s="7">
        <f>0+[1]táj.2!G405</f>
        <v>0</v>
      </c>
      <c r="H405" s="7">
        <f>0+[1]táj.2!H405</f>
        <v>0</v>
      </c>
      <c r="I405" s="7">
        <f>0+[1]táj.2!I405</f>
        <v>0</v>
      </c>
      <c r="J405" s="7">
        <f>0+[1]táj.2!J405</f>
        <v>0</v>
      </c>
      <c r="K405" s="7">
        <f>0+[1]táj.2!K405</f>
        <v>0</v>
      </c>
      <c r="L405" s="7">
        <f>0+[1]táj.2!L405</f>
        <v>0</v>
      </c>
      <c r="M405" s="7">
        <f>3000+[1]táj.2!M405</f>
        <v>0</v>
      </c>
      <c r="N405" s="7">
        <f>0+[1]táj.2!N405</f>
        <v>0</v>
      </c>
      <c r="O405" s="7">
        <f>0+[1]táj.2!O405</f>
        <v>0</v>
      </c>
      <c r="P405" s="7">
        <f>0+[1]táj.2!P405</f>
        <v>0</v>
      </c>
      <c r="Q405" s="7">
        <f t="shared" si="25"/>
        <v>0</v>
      </c>
    </row>
    <row r="406" spans="1:17" ht="16.5" customHeight="1" x14ac:dyDescent="0.2">
      <c r="A406" s="135"/>
      <c r="B406" s="135"/>
      <c r="C406" s="283" t="s">
        <v>958</v>
      </c>
      <c r="D406" s="284" t="s">
        <v>997</v>
      </c>
      <c r="E406" s="596"/>
      <c r="F406" s="7">
        <v>155405</v>
      </c>
      <c r="G406" s="7">
        <f>0+[1]táj.2!G406</f>
        <v>0</v>
      </c>
      <c r="H406" s="7">
        <f>0+[1]táj.2!H406</f>
        <v>0</v>
      </c>
      <c r="I406" s="7">
        <f>0+[1]táj.2!I406</f>
        <v>0</v>
      </c>
      <c r="J406" s="7">
        <f>0+[1]táj.2!J406</f>
        <v>0</v>
      </c>
      <c r="K406" s="7">
        <f>0+[1]táj.2!K406</f>
        <v>0</v>
      </c>
      <c r="L406" s="7">
        <f>0+[1]táj.2!L406</f>
        <v>0</v>
      </c>
      <c r="M406" s="7">
        <f>1500+[1]táj.2!M406</f>
        <v>1500</v>
      </c>
      <c r="N406" s="7">
        <f>0+[1]táj.2!N406</f>
        <v>0</v>
      </c>
      <c r="O406" s="7">
        <f>0+[1]táj.2!O406</f>
        <v>0</v>
      </c>
      <c r="P406" s="7">
        <f>0+[1]táj.2!P406</f>
        <v>0</v>
      </c>
      <c r="Q406" s="7">
        <f t="shared" si="25"/>
        <v>1500</v>
      </c>
    </row>
    <row r="407" spans="1:17" ht="27" customHeight="1" x14ac:dyDescent="0.2">
      <c r="A407" s="135"/>
      <c r="B407" s="135"/>
      <c r="C407" s="283" t="s">
        <v>960</v>
      </c>
      <c r="D407" s="607" t="s">
        <v>999</v>
      </c>
      <c r="E407" s="596"/>
      <c r="F407" s="7">
        <v>155406</v>
      </c>
      <c r="G407" s="7">
        <f>0+[1]táj.2!G407</f>
        <v>0</v>
      </c>
      <c r="H407" s="7">
        <f>0+[1]táj.2!H407</f>
        <v>0</v>
      </c>
      <c r="I407" s="7">
        <f>0+[1]táj.2!I407</f>
        <v>0</v>
      </c>
      <c r="J407" s="7">
        <f>0+[1]táj.2!J407</f>
        <v>0</v>
      </c>
      <c r="K407" s="7">
        <f>0+[1]táj.2!K407</f>
        <v>0</v>
      </c>
      <c r="L407" s="7">
        <f>0+[1]táj.2!L407</f>
        <v>0</v>
      </c>
      <c r="M407" s="7">
        <f>4500+[1]táj.2!M407</f>
        <v>0</v>
      </c>
      <c r="N407" s="7">
        <f>0+[1]táj.2!N407</f>
        <v>0</v>
      </c>
      <c r="O407" s="7">
        <f>0+[1]táj.2!O407</f>
        <v>0</v>
      </c>
      <c r="P407" s="7">
        <f>0+[1]táj.2!P407</f>
        <v>0</v>
      </c>
      <c r="Q407" s="7">
        <f t="shared" si="25"/>
        <v>0</v>
      </c>
    </row>
    <row r="408" spans="1:17" ht="17.100000000000001" customHeight="1" x14ac:dyDescent="0.2">
      <c r="A408" s="135"/>
      <c r="B408" s="135"/>
      <c r="C408" s="283" t="s">
        <v>962</v>
      </c>
      <c r="D408" s="200" t="s">
        <v>1001</v>
      </c>
      <c r="E408" s="596"/>
      <c r="F408" s="7">
        <v>154411</v>
      </c>
      <c r="G408" s="7">
        <f>0+[1]táj.2!G408</f>
        <v>0</v>
      </c>
      <c r="H408" s="7">
        <f>0+[1]táj.2!H408</f>
        <v>0</v>
      </c>
      <c r="I408" s="7">
        <f>0+[1]táj.2!I408</f>
        <v>0</v>
      </c>
      <c r="J408" s="7">
        <f>0+[1]táj.2!J408</f>
        <v>0</v>
      </c>
      <c r="K408" s="7">
        <f>0+[1]táj.2!K408</f>
        <v>0</v>
      </c>
      <c r="L408" s="7">
        <f>0+[1]táj.2!L408</f>
        <v>0</v>
      </c>
      <c r="M408" s="7">
        <f>11000+[1]táj.2!M408</f>
        <v>1807</v>
      </c>
      <c r="N408" s="7">
        <f>0+[1]táj.2!N408</f>
        <v>0</v>
      </c>
      <c r="O408" s="7">
        <f>0+[1]táj.2!O408</f>
        <v>0</v>
      </c>
      <c r="P408" s="7">
        <f>0+[1]táj.2!P408</f>
        <v>0</v>
      </c>
      <c r="Q408" s="7">
        <f t="shared" si="25"/>
        <v>1807</v>
      </c>
    </row>
    <row r="409" spans="1:17" ht="17.100000000000001" customHeight="1" x14ac:dyDescent="0.2">
      <c r="A409" s="135"/>
      <c r="B409" s="135"/>
      <c r="C409" s="283" t="s">
        <v>964</v>
      </c>
      <c r="D409" s="698" t="s">
        <v>1003</v>
      </c>
      <c r="E409" s="596"/>
      <c r="F409" s="7">
        <v>155408</v>
      </c>
      <c r="G409" s="7">
        <f>0+[1]táj.2!G409</f>
        <v>0</v>
      </c>
      <c r="H409" s="7">
        <f>0+[1]táj.2!H409</f>
        <v>0</v>
      </c>
      <c r="I409" s="7">
        <f>0+[1]táj.2!I409</f>
        <v>0</v>
      </c>
      <c r="J409" s="7">
        <f>0+[1]táj.2!J409</f>
        <v>0</v>
      </c>
      <c r="K409" s="7">
        <f>0+[1]táj.2!K409</f>
        <v>0</v>
      </c>
      <c r="L409" s="7">
        <f>0+[1]táj.2!L409</f>
        <v>0</v>
      </c>
      <c r="M409" s="7">
        <f>500+[1]táj.2!M409</f>
        <v>500</v>
      </c>
      <c r="N409" s="7">
        <f>0+[1]táj.2!N409</f>
        <v>0</v>
      </c>
      <c r="O409" s="7">
        <f>0+[1]táj.2!O409</f>
        <v>0</v>
      </c>
      <c r="P409" s="7">
        <f>0+[1]táj.2!P409</f>
        <v>0</v>
      </c>
      <c r="Q409" s="7">
        <f t="shared" si="25"/>
        <v>500</v>
      </c>
    </row>
    <row r="410" spans="1:17" ht="17.100000000000001" customHeight="1" x14ac:dyDescent="0.2">
      <c r="A410" s="135"/>
      <c r="B410" s="135"/>
      <c r="C410" s="283" t="s">
        <v>966</v>
      </c>
      <c r="D410" s="261" t="s">
        <v>1005</v>
      </c>
      <c r="E410" s="596"/>
      <c r="F410" s="7">
        <v>155409</v>
      </c>
      <c r="G410" s="7">
        <f>0+[1]táj.2!G410</f>
        <v>0</v>
      </c>
      <c r="H410" s="7">
        <f>0+[1]táj.2!H410</f>
        <v>0</v>
      </c>
      <c r="I410" s="7">
        <f>0+[1]táj.2!I410</f>
        <v>0</v>
      </c>
      <c r="J410" s="7">
        <f>0+[1]táj.2!J410</f>
        <v>0</v>
      </c>
      <c r="K410" s="7">
        <f>0+[1]táj.2!K410</f>
        <v>0</v>
      </c>
      <c r="L410" s="7">
        <f>0+[1]táj.2!L410</f>
        <v>0</v>
      </c>
      <c r="M410" s="7">
        <f>3500+[1]táj.2!M410</f>
        <v>0</v>
      </c>
      <c r="N410" s="7">
        <f>0+[1]táj.2!N410</f>
        <v>0</v>
      </c>
      <c r="O410" s="7">
        <f>0+[1]táj.2!O410</f>
        <v>0</v>
      </c>
      <c r="P410" s="7">
        <f>0+[1]táj.2!P410</f>
        <v>0</v>
      </c>
      <c r="Q410" s="7">
        <f t="shared" si="25"/>
        <v>0</v>
      </c>
    </row>
    <row r="411" spans="1:17" ht="17.100000000000001" customHeight="1" x14ac:dyDescent="0.2">
      <c r="A411" s="135"/>
      <c r="B411" s="135"/>
      <c r="C411" s="283" t="s">
        <v>968</v>
      </c>
      <c r="D411" s="698" t="s">
        <v>1007</v>
      </c>
      <c r="E411" s="596"/>
      <c r="F411" s="7">
        <v>155410</v>
      </c>
      <c r="G411" s="7">
        <f>0+[1]táj.2!G411</f>
        <v>0</v>
      </c>
      <c r="H411" s="7">
        <f>0+[1]táj.2!H411</f>
        <v>0</v>
      </c>
      <c r="I411" s="7">
        <f>0+[1]táj.2!I411</f>
        <v>0</v>
      </c>
      <c r="J411" s="7">
        <f>0+[1]táj.2!J411</f>
        <v>0</v>
      </c>
      <c r="K411" s="7">
        <f>0+[1]táj.2!K411</f>
        <v>0</v>
      </c>
      <c r="L411" s="7">
        <f>0+[1]táj.2!L411</f>
        <v>0</v>
      </c>
      <c r="M411" s="7">
        <f>2500+[1]táj.2!M411</f>
        <v>0</v>
      </c>
      <c r="N411" s="7">
        <f>0+[1]táj.2!N411</f>
        <v>0</v>
      </c>
      <c r="O411" s="7">
        <f>0+[1]táj.2!O411</f>
        <v>0</v>
      </c>
      <c r="P411" s="7">
        <f>0+[1]táj.2!P411</f>
        <v>0</v>
      </c>
      <c r="Q411" s="7">
        <f t="shared" si="25"/>
        <v>0</v>
      </c>
    </row>
    <row r="412" spans="1:17" ht="17.100000000000001" customHeight="1" x14ac:dyDescent="0.2">
      <c r="A412" s="135"/>
      <c r="B412" s="135"/>
      <c r="C412" s="283" t="s">
        <v>970</v>
      </c>
      <c r="D412" s="698" t="s">
        <v>1008</v>
      </c>
      <c r="E412" s="596"/>
      <c r="F412" s="7">
        <v>155411</v>
      </c>
      <c r="G412" s="7">
        <f>0+[1]táj.2!G412</f>
        <v>0</v>
      </c>
      <c r="H412" s="7">
        <f>0+[1]táj.2!H412</f>
        <v>0</v>
      </c>
      <c r="I412" s="7">
        <f>0+[1]táj.2!I412</f>
        <v>0</v>
      </c>
      <c r="J412" s="7">
        <f>0+[1]táj.2!J412</f>
        <v>0</v>
      </c>
      <c r="K412" s="7">
        <f>0+[1]táj.2!K412</f>
        <v>0</v>
      </c>
      <c r="L412" s="7">
        <f>0+[1]táj.2!L412</f>
        <v>0</v>
      </c>
      <c r="M412" s="7">
        <f>2500+[1]táj.2!M412</f>
        <v>0</v>
      </c>
      <c r="N412" s="7">
        <f>0+[1]táj.2!N412</f>
        <v>0</v>
      </c>
      <c r="O412" s="7">
        <f>0+[1]táj.2!O412</f>
        <v>0</v>
      </c>
      <c r="P412" s="7">
        <f>0+[1]táj.2!P412</f>
        <v>0</v>
      </c>
      <c r="Q412" s="7">
        <f t="shared" si="25"/>
        <v>0</v>
      </c>
    </row>
    <row r="413" spans="1:17" ht="17.100000000000001" customHeight="1" x14ac:dyDescent="0.2">
      <c r="A413" s="135"/>
      <c r="B413" s="135"/>
      <c r="C413" s="283" t="s">
        <v>972</v>
      </c>
      <c r="D413" s="200" t="s">
        <v>1009</v>
      </c>
      <c r="E413" s="289"/>
      <c r="F413" s="7">
        <v>152411</v>
      </c>
      <c r="G413" s="7">
        <f>0+[1]táj.2!G413</f>
        <v>0</v>
      </c>
      <c r="H413" s="7">
        <f>0+[1]táj.2!H413</f>
        <v>0</v>
      </c>
      <c r="I413" s="7">
        <f>0+[1]táj.2!I413</f>
        <v>0</v>
      </c>
      <c r="J413" s="7">
        <f>0+[1]táj.2!J413</f>
        <v>0</v>
      </c>
      <c r="K413" s="7">
        <f>0+[1]táj.2!K413</f>
        <v>0</v>
      </c>
      <c r="L413" s="7">
        <f>4000+[1]táj.2!L413</f>
        <v>0</v>
      </c>
      <c r="M413" s="7">
        <f>0+[1]táj.2!M413</f>
        <v>0</v>
      </c>
      <c r="N413" s="7">
        <f>0+[1]táj.2!N413</f>
        <v>0</v>
      </c>
      <c r="O413" s="7">
        <f>0+[1]táj.2!O413</f>
        <v>0</v>
      </c>
      <c r="P413" s="7">
        <f>0+[1]táj.2!P413</f>
        <v>0</v>
      </c>
      <c r="Q413" s="7">
        <f t="shared" si="25"/>
        <v>0</v>
      </c>
    </row>
    <row r="414" spans="1:17" ht="17.100000000000001" customHeight="1" x14ac:dyDescent="0.2">
      <c r="A414" s="135"/>
      <c r="B414" s="135"/>
      <c r="C414" s="283" t="s">
        <v>974</v>
      </c>
      <c r="D414" s="200" t="s">
        <v>1010</v>
      </c>
      <c r="E414" s="289"/>
      <c r="F414" s="7">
        <v>154493</v>
      </c>
      <c r="G414" s="7">
        <f>0+[1]táj.2!G414</f>
        <v>0</v>
      </c>
      <c r="H414" s="7">
        <f>0+[1]táj.2!H414</f>
        <v>0</v>
      </c>
      <c r="I414" s="7">
        <f>0+[1]táj.2!I414</f>
        <v>0</v>
      </c>
      <c r="J414" s="7">
        <f>0+[1]táj.2!J414</f>
        <v>0</v>
      </c>
      <c r="K414" s="7">
        <f>0+[1]táj.2!K414</f>
        <v>0</v>
      </c>
      <c r="L414" s="7">
        <f>0+[1]táj.2!L414</f>
        <v>0</v>
      </c>
      <c r="M414" s="7">
        <f>2000+[1]táj.2!M414</f>
        <v>0</v>
      </c>
      <c r="N414" s="7">
        <f>0+[1]táj.2!N414</f>
        <v>0</v>
      </c>
      <c r="O414" s="7">
        <f>0+[1]táj.2!O414</f>
        <v>0</v>
      </c>
      <c r="P414" s="7">
        <f>0+[1]táj.2!P414</f>
        <v>0</v>
      </c>
      <c r="Q414" s="7">
        <f t="shared" si="25"/>
        <v>0</v>
      </c>
    </row>
    <row r="415" spans="1:17" ht="27" customHeight="1" x14ac:dyDescent="0.2">
      <c r="A415" s="135"/>
      <c r="B415" s="135"/>
      <c r="C415" s="283" t="s">
        <v>976</v>
      </c>
      <c r="D415" s="200" t="s">
        <v>1011</v>
      </c>
      <c r="E415" s="289"/>
      <c r="F415" s="7">
        <v>154414</v>
      </c>
      <c r="G415" s="7">
        <f>0+[1]táj.2!G415</f>
        <v>0</v>
      </c>
      <c r="H415" s="7">
        <f>0+[1]táj.2!H415</f>
        <v>0</v>
      </c>
      <c r="I415" s="7">
        <f>0+[1]táj.2!I415</f>
        <v>0</v>
      </c>
      <c r="J415" s="7">
        <f>0+[1]táj.2!J415</f>
        <v>0</v>
      </c>
      <c r="K415" s="7">
        <f>0+[1]táj.2!K415</f>
        <v>0</v>
      </c>
      <c r="L415" s="7">
        <f>0+[1]táj.2!L415</f>
        <v>0</v>
      </c>
      <c r="M415" s="7">
        <f>2282+[1]táj.2!M415</f>
        <v>2282</v>
      </c>
      <c r="N415" s="7">
        <f>0+[1]táj.2!N415</f>
        <v>0</v>
      </c>
      <c r="O415" s="7">
        <f>0+[1]táj.2!O415</f>
        <v>0</v>
      </c>
      <c r="P415" s="7">
        <f>0+[1]táj.2!P415</f>
        <v>0</v>
      </c>
      <c r="Q415" s="7">
        <f t="shared" si="25"/>
        <v>2282</v>
      </c>
    </row>
    <row r="416" spans="1:17" ht="15.95" customHeight="1" x14ac:dyDescent="0.2">
      <c r="A416" s="135"/>
      <c r="B416" s="135"/>
      <c r="C416" s="283" t="s">
        <v>978</v>
      </c>
      <c r="D416" s="284" t="s">
        <v>1012</v>
      </c>
      <c r="E416" s="596"/>
      <c r="F416" s="7">
        <v>155412</v>
      </c>
      <c r="G416" s="7">
        <f>0+[1]táj.2!G416</f>
        <v>0</v>
      </c>
      <c r="H416" s="7">
        <f>0+[1]táj.2!H416</f>
        <v>0</v>
      </c>
      <c r="I416" s="7">
        <f>0+[1]táj.2!I416</f>
        <v>0</v>
      </c>
      <c r="J416" s="7">
        <f>0+[1]táj.2!J416</f>
        <v>0</v>
      </c>
      <c r="K416" s="7">
        <f>0+[1]táj.2!K416</f>
        <v>0</v>
      </c>
      <c r="L416" s="7">
        <f>0+[1]táj.2!L416</f>
        <v>0</v>
      </c>
      <c r="M416" s="7">
        <f>2000+[1]táj.2!M416</f>
        <v>0</v>
      </c>
      <c r="N416" s="7">
        <f>0+[1]táj.2!N416</f>
        <v>0</v>
      </c>
      <c r="O416" s="7">
        <f>0+[1]táj.2!O416</f>
        <v>0</v>
      </c>
      <c r="P416" s="7">
        <f>0+[1]táj.2!P416</f>
        <v>0</v>
      </c>
      <c r="Q416" s="7">
        <f t="shared" si="25"/>
        <v>0</v>
      </c>
    </row>
    <row r="417" spans="1:17" ht="15.95" customHeight="1" x14ac:dyDescent="0.2">
      <c r="A417" s="135"/>
      <c r="B417" s="135"/>
      <c r="C417" s="283" t="s">
        <v>980</v>
      </c>
      <c r="D417" s="699" t="s">
        <v>1013</v>
      </c>
      <c r="E417" s="596"/>
      <c r="F417" s="7">
        <v>155413</v>
      </c>
      <c r="G417" s="7">
        <f>0+[1]táj.2!G417</f>
        <v>0</v>
      </c>
      <c r="H417" s="7">
        <f>0+[1]táj.2!H417</f>
        <v>0</v>
      </c>
      <c r="I417" s="7">
        <f>0+[1]táj.2!I417</f>
        <v>0</v>
      </c>
      <c r="J417" s="7">
        <f>0+[1]táj.2!J417</f>
        <v>0</v>
      </c>
      <c r="K417" s="7">
        <f>0+[1]táj.2!K417</f>
        <v>0</v>
      </c>
      <c r="L417" s="7">
        <f>0+[1]táj.2!L417</f>
        <v>0</v>
      </c>
      <c r="M417" s="7">
        <f>3000+[1]táj.2!M417</f>
        <v>0</v>
      </c>
      <c r="N417" s="7">
        <f>0+[1]táj.2!N417</f>
        <v>0</v>
      </c>
      <c r="O417" s="7">
        <f>0+[1]táj.2!O417</f>
        <v>0</v>
      </c>
      <c r="P417" s="7">
        <f>0+[1]táj.2!P417</f>
        <v>0</v>
      </c>
      <c r="Q417" s="7">
        <f t="shared" si="25"/>
        <v>0</v>
      </c>
    </row>
    <row r="418" spans="1:17" ht="15.95" customHeight="1" x14ac:dyDescent="0.2">
      <c r="A418" s="135"/>
      <c r="B418" s="135"/>
      <c r="C418" s="283" t="s">
        <v>982</v>
      </c>
      <c r="D418" s="453" t="s">
        <v>1424</v>
      </c>
      <c r="E418" s="596"/>
      <c r="F418" s="7">
        <v>155414</v>
      </c>
      <c r="G418" s="7">
        <f>0+[1]táj.2!G418</f>
        <v>0</v>
      </c>
      <c r="H418" s="7">
        <f>0+[1]táj.2!H418</f>
        <v>0</v>
      </c>
      <c r="I418" s="7">
        <f>0+[1]táj.2!I418</f>
        <v>0</v>
      </c>
      <c r="J418" s="7">
        <f>0+[1]táj.2!J418</f>
        <v>0</v>
      </c>
      <c r="K418" s="7">
        <f>0+[1]táj.2!K418</f>
        <v>0</v>
      </c>
      <c r="L418" s="7">
        <f>0+[1]táj.2!L418</f>
        <v>0</v>
      </c>
      <c r="M418" s="7">
        <f>5000+[1]táj.2!M418</f>
        <v>0</v>
      </c>
      <c r="N418" s="7">
        <f>0+[1]táj.2!N418</f>
        <v>0</v>
      </c>
      <c r="O418" s="7">
        <f>0+[1]táj.2!O418</f>
        <v>0</v>
      </c>
      <c r="P418" s="7">
        <f>0+[1]táj.2!P418</f>
        <v>0</v>
      </c>
      <c r="Q418" s="7">
        <f t="shared" si="25"/>
        <v>0</v>
      </c>
    </row>
    <row r="419" spans="1:17" ht="15.95" customHeight="1" x14ac:dyDescent="0.2">
      <c r="A419" s="135"/>
      <c r="B419" s="135"/>
      <c r="C419" s="283" t="s">
        <v>984</v>
      </c>
      <c r="D419" s="699" t="s">
        <v>1014</v>
      </c>
      <c r="E419" s="596"/>
      <c r="F419" s="7">
        <v>155415</v>
      </c>
      <c r="G419" s="7">
        <f>0+[1]táj.2!G419</f>
        <v>0</v>
      </c>
      <c r="H419" s="7">
        <f>0+[1]táj.2!H419</f>
        <v>0</v>
      </c>
      <c r="I419" s="7">
        <f>0+[1]táj.2!I419</f>
        <v>0</v>
      </c>
      <c r="J419" s="7">
        <f>0+[1]táj.2!J419</f>
        <v>0</v>
      </c>
      <c r="K419" s="7">
        <f>0+[1]táj.2!K419</f>
        <v>0</v>
      </c>
      <c r="L419" s="7">
        <f>0+[1]táj.2!L419</f>
        <v>0</v>
      </c>
      <c r="M419" s="7">
        <f>1000+[1]táj.2!M419</f>
        <v>0</v>
      </c>
      <c r="N419" s="7">
        <f>0+[1]táj.2!N419</f>
        <v>0</v>
      </c>
      <c r="O419" s="7">
        <f>0+[1]táj.2!O419</f>
        <v>0</v>
      </c>
      <c r="P419" s="7">
        <f>0+[1]táj.2!P419</f>
        <v>0</v>
      </c>
      <c r="Q419" s="7">
        <f t="shared" si="25"/>
        <v>0</v>
      </c>
    </row>
    <row r="420" spans="1:17" ht="15.95" customHeight="1" x14ac:dyDescent="0.2">
      <c r="A420" s="135"/>
      <c r="B420" s="135"/>
      <c r="C420" s="283" t="s">
        <v>986</v>
      </c>
      <c r="D420" s="699" t="s">
        <v>1015</v>
      </c>
      <c r="E420" s="596"/>
      <c r="F420" s="7">
        <v>155417</v>
      </c>
      <c r="G420" s="7">
        <f>0+[1]táj.2!G420</f>
        <v>0</v>
      </c>
      <c r="H420" s="7">
        <f>0+[1]táj.2!H420</f>
        <v>0</v>
      </c>
      <c r="I420" s="7">
        <f>0+[1]táj.2!I420</f>
        <v>0</v>
      </c>
      <c r="J420" s="7">
        <f>0+[1]táj.2!J420</f>
        <v>0</v>
      </c>
      <c r="K420" s="7">
        <f>0+[1]táj.2!K420</f>
        <v>0</v>
      </c>
      <c r="L420" s="7">
        <f>0+[1]táj.2!L420</f>
        <v>0</v>
      </c>
      <c r="M420" s="7">
        <f>1000+[1]táj.2!M420</f>
        <v>0</v>
      </c>
      <c r="N420" s="7">
        <f>0+[1]táj.2!N420</f>
        <v>0</v>
      </c>
      <c r="O420" s="7">
        <f>0+[1]táj.2!O420</f>
        <v>0</v>
      </c>
      <c r="P420" s="7">
        <f>0+[1]táj.2!P420</f>
        <v>0</v>
      </c>
      <c r="Q420" s="7">
        <f t="shared" si="25"/>
        <v>0</v>
      </c>
    </row>
    <row r="421" spans="1:17" ht="15.95" customHeight="1" x14ac:dyDescent="0.2">
      <c r="A421" s="135"/>
      <c r="B421" s="135"/>
      <c r="C421" s="283" t="s">
        <v>988</v>
      </c>
      <c r="D421" s="284" t="s">
        <v>79</v>
      </c>
      <c r="E421" s="596"/>
      <c r="F421" s="7">
        <v>155418</v>
      </c>
      <c r="G421" s="7">
        <f>0+[1]táj.2!G421</f>
        <v>0</v>
      </c>
      <c r="H421" s="7">
        <f>0+[1]táj.2!H421</f>
        <v>0</v>
      </c>
      <c r="I421" s="7">
        <f>0+[1]táj.2!I421</f>
        <v>0</v>
      </c>
      <c r="J421" s="7">
        <f>0+[1]táj.2!J421</f>
        <v>0</v>
      </c>
      <c r="K421" s="7">
        <f>0+[1]táj.2!K421</f>
        <v>0</v>
      </c>
      <c r="L421" s="7">
        <f>0+[1]táj.2!L421</f>
        <v>0</v>
      </c>
      <c r="M421" s="7">
        <f>1500+[1]táj.2!M421</f>
        <v>1500</v>
      </c>
      <c r="N421" s="7">
        <f>0+[1]táj.2!N421</f>
        <v>0</v>
      </c>
      <c r="O421" s="7">
        <f>0+[1]táj.2!O421</f>
        <v>0</v>
      </c>
      <c r="P421" s="7">
        <f>0+[1]táj.2!P421</f>
        <v>0</v>
      </c>
      <c r="Q421" s="7">
        <f t="shared" si="25"/>
        <v>1500</v>
      </c>
    </row>
    <row r="422" spans="1:17" ht="15.95" customHeight="1" x14ac:dyDescent="0.2">
      <c r="A422" s="135"/>
      <c r="B422" s="135"/>
      <c r="C422" s="283" t="s">
        <v>990</v>
      </c>
      <c r="D422" s="290" t="s">
        <v>1016</v>
      </c>
      <c r="E422" s="596"/>
      <c r="F422" s="7">
        <v>155419</v>
      </c>
      <c r="G422" s="7">
        <f>0+[1]táj.2!G422</f>
        <v>0</v>
      </c>
      <c r="H422" s="7">
        <f>0+[1]táj.2!H422</f>
        <v>0</v>
      </c>
      <c r="I422" s="7">
        <f>0+[1]táj.2!I422</f>
        <v>0</v>
      </c>
      <c r="J422" s="7">
        <f>0+[1]táj.2!J422</f>
        <v>0</v>
      </c>
      <c r="K422" s="7">
        <f>0+[1]táj.2!K422</f>
        <v>0</v>
      </c>
      <c r="L422" s="7">
        <f>0+[1]táj.2!L422</f>
        <v>0</v>
      </c>
      <c r="M422" s="7">
        <f>1500+[1]táj.2!M422</f>
        <v>0</v>
      </c>
      <c r="N422" s="7">
        <f>0+[1]táj.2!N422</f>
        <v>0</v>
      </c>
      <c r="O422" s="7">
        <f>0+[1]táj.2!O422</f>
        <v>0</v>
      </c>
      <c r="P422" s="7">
        <f>0+[1]táj.2!P422</f>
        <v>0</v>
      </c>
      <c r="Q422" s="7">
        <f t="shared" si="25"/>
        <v>0</v>
      </c>
    </row>
    <row r="423" spans="1:17" ht="15.95" customHeight="1" x14ac:dyDescent="0.2">
      <c r="A423" s="135"/>
      <c r="B423" s="135"/>
      <c r="C423" s="283" t="s">
        <v>992</v>
      </c>
      <c r="D423" s="290" t="s">
        <v>1017</v>
      </c>
      <c r="E423" s="596"/>
      <c r="F423" s="7">
        <v>155421</v>
      </c>
      <c r="G423" s="7">
        <f>0+[1]táj.2!G423</f>
        <v>0</v>
      </c>
      <c r="H423" s="7">
        <f>0+[1]táj.2!H423</f>
        <v>0</v>
      </c>
      <c r="I423" s="7">
        <f>0+[1]táj.2!I423</f>
        <v>0</v>
      </c>
      <c r="J423" s="7">
        <f>0+[1]táj.2!J423</f>
        <v>0</v>
      </c>
      <c r="K423" s="7">
        <f>0+[1]táj.2!K423</f>
        <v>0</v>
      </c>
      <c r="L423" s="7">
        <f>0+[1]táj.2!L423</f>
        <v>0</v>
      </c>
      <c r="M423" s="7">
        <f>2000+[1]táj.2!M423</f>
        <v>0</v>
      </c>
      <c r="N423" s="7">
        <f>0+[1]táj.2!N423</f>
        <v>0</v>
      </c>
      <c r="O423" s="7">
        <f>0+[1]táj.2!O423</f>
        <v>0</v>
      </c>
      <c r="P423" s="7">
        <f>0+[1]táj.2!P423</f>
        <v>0</v>
      </c>
      <c r="Q423" s="7">
        <f t="shared" si="25"/>
        <v>0</v>
      </c>
    </row>
    <row r="424" spans="1:17" ht="15.95" customHeight="1" x14ac:dyDescent="0.2">
      <c r="A424" s="135"/>
      <c r="B424" s="135"/>
      <c r="C424" s="283" t="s">
        <v>994</v>
      </c>
      <c r="D424" s="290" t="s">
        <v>1018</v>
      </c>
      <c r="E424" s="596"/>
      <c r="F424" s="7">
        <v>155422</v>
      </c>
      <c r="G424" s="7">
        <f>0+[1]táj.2!G424</f>
        <v>0</v>
      </c>
      <c r="H424" s="7">
        <f>0+[1]táj.2!H424</f>
        <v>0</v>
      </c>
      <c r="I424" s="7">
        <f>0+[1]táj.2!I424</f>
        <v>0</v>
      </c>
      <c r="J424" s="7">
        <f>0+[1]táj.2!J424</f>
        <v>0</v>
      </c>
      <c r="K424" s="7">
        <f>0+[1]táj.2!K424</f>
        <v>0</v>
      </c>
      <c r="L424" s="7">
        <f>0+[1]táj.2!L424</f>
        <v>0</v>
      </c>
      <c r="M424" s="7">
        <f>2000+[1]táj.2!M424</f>
        <v>0</v>
      </c>
      <c r="N424" s="7">
        <f>0+[1]táj.2!N424</f>
        <v>0</v>
      </c>
      <c r="O424" s="7">
        <f>0+[1]táj.2!O424</f>
        <v>0</v>
      </c>
      <c r="P424" s="7">
        <f>0+[1]táj.2!P424</f>
        <v>0</v>
      </c>
      <c r="Q424" s="7">
        <f t="shared" si="25"/>
        <v>0</v>
      </c>
    </row>
    <row r="425" spans="1:17" ht="26.25" customHeight="1" x14ac:dyDescent="0.2">
      <c r="A425" s="135"/>
      <c r="B425" s="135"/>
      <c r="C425" s="283" t="s">
        <v>996</v>
      </c>
      <c r="D425" s="290" t="s">
        <v>1019</v>
      </c>
      <c r="E425" s="596"/>
      <c r="F425" s="7">
        <v>155424</v>
      </c>
      <c r="G425" s="7">
        <f>0+[1]táj.2!G425</f>
        <v>0</v>
      </c>
      <c r="H425" s="7">
        <f>0+[1]táj.2!H425</f>
        <v>0</v>
      </c>
      <c r="I425" s="7">
        <f>0+[1]táj.2!I425</f>
        <v>0</v>
      </c>
      <c r="J425" s="7">
        <f>0+[1]táj.2!J425</f>
        <v>0</v>
      </c>
      <c r="K425" s="7">
        <f>0+[1]táj.2!K425</f>
        <v>0</v>
      </c>
      <c r="L425" s="7">
        <f>0+[1]táj.2!L425</f>
        <v>0</v>
      </c>
      <c r="M425" s="7">
        <f>3000+[1]táj.2!M425</f>
        <v>3000</v>
      </c>
      <c r="N425" s="7">
        <f>0+[1]táj.2!N425</f>
        <v>0</v>
      </c>
      <c r="O425" s="7">
        <f>0+[1]táj.2!O425</f>
        <v>0</v>
      </c>
      <c r="P425" s="7">
        <f>0+[1]táj.2!P425</f>
        <v>0</v>
      </c>
      <c r="Q425" s="7">
        <f t="shared" si="25"/>
        <v>3000</v>
      </c>
    </row>
    <row r="426" spans="1:17" ht="19.5" customHeight="1" x14ac:dyDescent="0.2">
      <c r="A426" s="135"/>
      <c r="B426" s="135"/>
      <c r="C426" s="283" t="s">
        <v>998</v>
      </c>
      <c r="D426" s="290" t="s">
        <v>1020</v>
      </c>
      <c r="E426" s="596"/>
      <c r="F426" s="7">
        <v>155426</v>
      </c>
      <c r="G426" s="7">
        <f>0+[1]táj.2!G426</f>
        <v>0</v>
      </c>
      <c r="H426" s="7">
        <f>0+[1]táj.2!H426</f>
        <v>0</v>
      </c>
      <c r="I426" s="7">
        <f>0+[1]táj.2!I426</f>
        <v>0</v>
      </c>
      <c r="J426" s="7">
        <f>0+[1]táj.2!J426</f>
        <v>0</v>
      </c>
      <c r="K426" s="7">
        <f>0+[1]táj.2!K426</f>
        <v>0</v>
      </c>
      <c r="L426" s="7">
        <f>0+[1]táj.2!L426</f>
        <v>0</v>
      </c>
      <c r="M426" s="7">
        <f>4000+[1]táj.2!M426</f>
        <v>4000</v>
      </c>
      <c r="N426" s="7">
        <f>0+[1]táj.2!N426</f>
        <v>0</v>
      </c>
      <c r="O426" s="7">
        <f>0+[1]táj.2!O426</f>
        <v>0</v>
      </c>
      <c r="P426" s="7">
        <f>0+[1]táj.2!P426</f>
        <v>0</v>
      </c>
      <c r="Q426" s="7">
        <f t="shared" si="25"/>
        <v>4000</v>
      </c>
    </row>
    <row r="427" spans="1:17" ht="16.5" customHeight="1" x14ac:dyDescent="0.2">
      <c r="A427" s="135"/>
      <c r="B427" s="135"/>
      <c r="C427" s="283" t="s">
        <v>1000</v>
      </c>
      <c r="D427" s="290" t="s">
        <v>1021</v>
      </c>
      <c r="E427" s="596"/>
      <c r="F427" s="7">
        <v>152426</v>
      </c>
      <c r="G427" s="7">
        <f>0+[1]táj.2!G427</f>
        <v>0</v>
      </c>
      <c r="H427" s="7">
        <f>0+[1]táj.2!H427</f>
        <v>0</v>
      </c>
      <c r="I427" s="7">
        <f>0+[1]táj.2!I427</f>
        <v>0</v>
      </c>
      <c r="J427" s="7">
        <f>0+[1]táj.2!J427</f>
        <v>0</v>
      </c>
      <c r="K427" s="7">
        <f>0+[1]táj.2!K427</f>
        <v>0</v>
      </c>
      <c r="L427" s="7">
        <f>13000+[1]táj.2!L427</f>
        <v>8000</v>
      </c>
      <c r="M427" s="7">
        <f>0+[1]táj.2!M427</f>
        <v>0</v>
      </c>
      <c r="N427" s="7">
        <f>0+[1]táj.2!N427</f>
        <v>0</v>
      </c>
      <c r="O427" s="7">
        <f>0+[1]táj.2!O427</f>
        <v>0</v>
      </c>
      <c r="P427" s="7">
        <f>0+[1]táj.2!P427</f>
        <v>0</v>
      </c>
      <c r="Q427" s="7">
        <f t="shared" si="25"/>
        <v>8000</v>
      </c>
    </row>
    <row r="428" spans="1:17" ht="31.5" customHeight="1" x14ac:dyDescent="0.2">
      <c r="A428" s="135"/>
      <c r="B428" s="135"/>
      <c r="C428" s="283" t="s">
        <v>1002</v>
      </c>
      <c r="D428" s="290" t="s">
        <v>1022</v>
      </c>
      <c r="E428" s="596"/>
      <c r="F428" s="7">
        <v>155429</v>
      </c>
      <c r="G428" s="7">
        <f>0+[1]táj.2!G428</f>
        <v>0</v>
      </c>
      <c r="H428" s="7">
        <f>0+[1]táj.2!H428</f>
        <v>0</v>
      </c>
      <c r="I428" s="7">
        <f>0+[1]táj.2!I428</f>
        <v>0</v>
      </c>
      <c r="J428" s="7">
        <f>0+[1]táj.2!J428</f>
        <v>0</v>
      </c>
      <c r="K428" s="7">
        <f>0+[1]táj.2!K428</f>
        <v>0</v>
      </c>
      <c r="L428" s="7">
        <f>0+[1]táj.2!L428</f>
        <v>0</v>
      </c>
      <c r="M428" s="7">
        <f>6000+[1]táj.2!M428</f>
        <v>3000</v>
      </c>
      <c r="N428" s="7">
        <f>0+[1]táj.2!N428</f>
        <v>0</v>
      </c>
      <c r="O428" s="7">
        <f>0+[1]táj.2!O428</f>
        <v>0</v>
      </c>
      <c r="P428" s="7">
        <f>0+[1]táj.2!P428</f>
        <v>0</v>
      </c>
      <c r="Q428" s="7">
        <f t="shared" si="25"/>
        <v>3000</v>
      </c>
    </row>
    <row r="429" spans="1:17" ht="18" customHeight="1" x14ac:dyDescent="0.2">
      <c r="A429" s="135"/>
      <c r="B429" s="135"/>
      <c r="C429" s="283" t="s">
        <v>1004</v>
      </c>
      <c r="D429" s="290" t="s">
        <v>1023</v>
      </c>
      <c r="E429" s="596"/>
      <c r="F429" s="7">
        <v>155430</v>
      </c>
      <c r="G429" s="7">
        <f>0+[1]táj.2!G429</f>
        <v>0</v>
      </c>
      <c r="H429" s="7">
        <f>0+[1]táj.2!H429</f>
        <v>0</v>
      </c>
      <c r="I429" s="7">
        <f>0+[1]táj.2!I429</f>
        <v>0</v>
      </c>
      <c r="J429" s="7">
        <f>0+[1]táj.2!J429</f>
        <v>0</v>
      </c>
      <c r="K429" s="7">
        <f>0+[1]táj.2!K429</f>
        <v>0</v>
      </c>
      <c r="L429" s="7">
        <f>0+[1]táj.2!L429</f>
        <v>0</v>
      </c>
      <c r="M429" s="7">
        <f>2000+[1]táj.2!M429</f>
        <v>0</v>
      </c>
      <c r="N429" s="7">
        <f>0+[1]táj.2!N429</f>
        <v>0</v>
      </c>
      <c r="O429" s="7">
        <f>0+[1]táj.2!O429</f>
        <v>0</v>
      </c>
      <c r="P429" s="7">
        <f>0+[1]táj.2!P429</f>
        <v>0</v>
      </c>
      <c r="Q429" s="7">
        <f t="shared" si="25"/>
        <v>0</v>
      </c>
    </row>
    <row r="430" spans="1:17" ht="18" customHeight="1" x14ac:dyDescent="0.2">
      <c r="A430" s="135"/>
      <c r="B430" s="135"/>
      <c r="C430" s="283" t="s">
        <v>1006</v>
      </c>
      <c r="D430" s="290" t="s">
        <v>1024</v>
      </c>
      <c r="E430" s="596"/>
      <c r="F430" s="7">
        <v>155427</v>
      </c>
      <c r="G430" s="7">
        <f>0+[1]táj.2!G430</f>
        <v>0</v>
      </c>
      <c r="H430" s="7">
        <f>0+[1]táj.2!H430</f>
        <v>0</v>
      </c>
      <c r="I430" s="7">
        <f>0+[1]táj.2!I430</f>
        <v>0</v>
      </c>
      <c r="J430" s="7">
        <f>0+[1]táj.2!J430</f>
        <v>0</v>
      </c>
      <c r="K430" s="7">
        <f>0+[1]táj.2!K430</f>
        <v>0</v>
      </c>
      <c r="L430" s="7">
        <f>0+[1]táj.2!L430</f>
        <v>0</v>
      </c>
      <c r="M430" s="7">
        <f>6000+[1]táj.2!M430</f>
        <v>0</v>
      </c>
      <c r="N430" s="7">
        <f>0+[1]táj.2!N430</f>
        <v>0</v>
      </c>
      <c r="O430" s="7">
        <f>0+[1]táj.2!O430</f>
        <v>0</v>
      </c>
      <c r="P430" s="7">
        <f>0+[1]táj.2!P430</f>
        <v>0</v>
      </c>
      <c r="Q430" s="7">
        <f t="shared" si="25"/>
        <v>0</v>
      </c>
    </row>
    <row r="431" spans="1:17" ht="18" customHeight="1" x14ac:dyDescent="0.2">
      <c r="A431" s="135"/>
      <c r="B431" s="135"/>
      <c r="C431" s="291"/>
      <c r="D431" s="247" t="s">
        <v>584</v>
      </c>
      <c r="E431" s="289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>
        <f t="shared" si="25"/>
        <v>0</v>
      </c>
    </row>
    <row r="432" spans="1:17" ht="18" customHeight="1" x14ac:dyDescent="0.2">
      <c r="A432" s="135"/>
      <c r="B432" s="135"/>
      <c r="C432" s="283" t="s">
        <v>1025</v>
      </c>
      <c r="D432" s="200" t="s">
        <v>1026</v>
      </c>
      <c r="E432" s="187"/>
      <c r="F432" s="7">
        <v>155420</v>
      </c>
      <c r="G432" s="7">
        <f>0+[1]táj.2!G432</f>
        <v>0</v>
      </c>
      <c r="H432" s="7">
        <f>0+[1]táj.2!H432</f>
        <v>0</v>
      </c>
      <c r="I432" s="7">
        <f>111+[1]táj.2!I432</f>
        <v>111</v>
      </c>
      <c r="J432" s="7">
        <f>0+[1]táj.2!J432</f>
        <v>0</v>
      </c>
      <c r="K432" s="7">
        <f>0+[1]táj.2!K432</f>
        <v>0</v>
      </c>
      <c r="L432" s="7">
        <f>0+[1]táj.2!L432</f>
        <v>0</v>
      </c>
      <c r="M432" s="7">
        <f>76+[1]táj.2!M432</f>
        <v>0</v>
      </c>
      <c r="N432" s="7">
        <f>0+[1]táj.2!N432</f>
        <v>0</v>
      </c>
      <c r="O432" s="7">
        <f>0+[1]táj.2!O432</f>
        <v>0</v>
      </c>
      <c r="P432" s="7">
        <f>0+[1]táj.2!P432</f>
        <v>0</v>
      </c>
      <c r="Q432" s="7">
        <f t="shared" si="25"/>
        <v>111</v>
      </c>
    </row>
    <row r="433" spans="1:17" ht="27" customHeight="1" x14ac:dyDescent="0.2">
      <c r="A433" s="135"/>
      <c r="B433" s="135"/>
      <c r="C433" s="283" t="s">
        <v>1027</v>
      </c>
      <c r="D433" s="200" t="s">
        <v>1028</v>
      </c>
      <c r="E433" s="187"/>
      <c r="F433" s="7">
        <v>154433</v>
      </c>
      <c r="G433" s="7">
        <f>0+[1]táj.2!G433</f>
        <v>0</v>
      </c>
      <c r="H433" s="7">
        <f>0+[1]táj.2!H433</f>
        <v>0</v>
      </c>
      <c r="I433" s="7">
        <f>0+[1]táj.2!I433</f>
        <v>0</v>
      </c>
      <c r="J433" s="7">
        <f>0+[1]táj.2!J433</f>
        <v>0</v>
      </c>
      <c r="K433" s="7">
        <f>0+[1]táj.2!K433</f>
        <v>0</v>
      </c>
      <c r="L433" s="7">
        <f>0+[1]táj.2!L433</f>
        <v>0</v>
      </c>
      <c r="M433" s="7">
        <f>2000+[1]táj.2!M433</f>
        <v>0</v>
      </c>
      <c r="N433" s="7">
        <f>0+[1]táj.2!N433</f>
        <v>0</v>
      </c>
      <c r="O433" s="7">
        <f>0+[1]táj.2!O433</f>
        <v>0</v>
      </c>
      <c r="P433" s="7">
        <f>0+[1]táj.2!P433</f>
        <v>0</v>
      </c>
      <c r="Q433" s="7">
        <f t="shared" si="25"/>
        <v>0</v>
      </c>
    </row>
    <row r="434" spans="1:17" ht="18" customHeight="1" x14ac:dyDescent="0.2">
      <c r="A434" s="135"/>
      <c r="B434" s="135"/>
      <c r="C434" s="283" t="s">
        <v>1029</v>
      </c>
      <c r="D434" s="200" t="s">
        <v>1030</v>
      </c>
      <c r="E434" s="187"/>
      <c r="F434" s="7">
        <v>154479</v>
      </c>
      <c r="G434" s="7">
        <f>0+[1]táj.2!G434</f>
        <v>0</v>
      </c>
      <c r="H434" s="7">
        <f>0+[1]táj.2!H434</f>
        <v>0</v>
      </c>
      <c r="I434" s="7">
        <f>0+[1]táj.2!I434</f>
        <v>0</v>
      </c>
      <c r="J434" s="7">
        <f>0+[1]táj.2!J434</f>
        <v>0</v>
      </c>
      <c r="K434" s="7">
        <f>0+[1]táj.2!K434</f>
        <v>0</v>
      </c>
      <c r="L434" s="7">
        <f>0+[1]táj.2!L434</f>
        <v>0</v>
      </c>
      <c r="M434" s="7">
        <f>4148+[1]táj.2!M434</f>
        <v>4749</v>
      </c>
      <c r="N434" s="7">
        <f>0+[1]táj.2!N434</f>
        <v>0</v>
      </c>
      <c r="O434" s="7">
        <f>0+[1]táj.2!O434</f>
        <v>0</v>
      </c>
      <c r="P434" s="7">
        <f>0+[1]táj.2!P434</f>
        <v>0</v>
      </c>
      <c r="Q434" s="7">
        <f t="shared" si="25"/>
        <v>4749</v>
      </c>
    </row>
    <row r="435" spans="1:17" ht="18" customHeight="1" x14ac:dyDescent="0.2">
      <c r="A435" s="135"/>
      <c r="B435" s="135"/>
      <c r="C435" s="283" t="s">
        <v>1031</v>
      </c>
      <c r="D435" s="200" t="s">
        <v>1032</v>
      </c>
      <c r="E435" s="187"/>
      <c r="F435" s="7">
        <v>154489</v>
      </c>
      <c r="G435" s="7">
        <f>0+[1]táj.2!G435</f>
        <v>0</v>
      </c>
      <c r="H435" s="7">
        <f>0+[1]táj.2!H435</f>
        <v>0</v>
      </c>
      <c r="I435" s="7">
        <f>0+[1]táj.2!I435</f>
        <v>0</v>
      </c>
      <c r="J435" s="7">
        <f>0+[1]táj.2!J435</f>
        <v>0</v>
      </c>
      <c r="K435" s="7">
        <f>0+[1]táj.2!K435</f>
        <v>0</v>
      </c>
      <c r="L435" s="7">
        <f>0+[1]táj.2!L435</f>
        <v>0</v>
      </c>
      <c r="M435" s="7">
        <f>6948+[1]táj.2!M435</f>
        <v>6948</v>
      </c>
      <c r="N435" s="7">
        <f>0+[1]táj.2!N435</f>
        <v>0</v>
      </c>
      <c r="O435" s="7">
        <f>0+[1]táj.2!O435</f>
        <v>0</v>
      </c>
      <c r="P435" s="7">
        <f>0+[1]táj.2!P435</f>
        <v>0</v>
      </c>
      <c r="Q435" s="7">
        <f t="shared" si="25"/>
        <v>6948</v>
      </c>
    </row>
    <row r="436" spans="1:17" ht="18" customHeight="1" x14ac:dyDescent="0.2">
      <c r="A436" s="135"/>
      <c r="B436" s="135"/>
      <c r="C436" s="283" t="s">
        <v>1033</v>
      </c>
      <c r="D436" s="258" t="s">
        <v>1034</v>
      </c>
      <c r="E436" s="187"/>
      <c r="F436" s="7">
        <v>152414</v>
      </c>
      <c r="G436" s="7">
        <f>0+[1]táj.2!G436</f>
        <v>0</v>
      </c>
      <c r="H436" s="7">
        <f>0+[1]táj.2!H436</f>
        <v>0</v>
      </c>
      <c r="I436" s="7">
        <f>0+[1]táj.2!I436</f>
        <v>0</v>
      </c>
      <c r="J436" s="7">
        <f>0+[1]táj.2!J436</f>
        <v>0</v>
      </c>
      <c r="K436" s="7">
        <f>0+[1]táj.2!K436</f>
        <v>0</v>
      </c>
      <c r="L436" s="7">
        <f>5500+[1]táj.2!L436</f>
        <v>4000</v>
      </c>
      <c r="M436" s="7">
        <f>0+[1]táj.2!M436</f>
        <v>0</v>
      </c>
      <c r="N436" s="7">
        <f>0+[1]táj.2!N436</f>
        <v>0</v>
      </c>
      <c r="O436" s="7">
        <f>0+[1]táj.2!O436</f>
        <v>0</v>
      </c>
      <c r="P436" s="7">
        <f>0+[1]táj.2!P436</f>
        <v>0</v>
      </c>
      <c r="Q436" s="7">
        <f t="shared" si="25"/>
        <v>4000</v>
      </c>
    </row>
    <row r="437" spans="1:17" ht="18" customHeight="1" x14ac:dyDescent="0.2">
      <c r="A437" s="135"/>
      <c r="B437" s="135"/>
      <c r="C437" s="283" t="s">
        <v>1035</v>
      </c>
      <c r="D437" s="139" t="s">
        <v>1038</v>
      </c>
      <c r="E437" s="187"/>
      <c r="F437" s="7">
        <v>164415</v>
      </c>
      <c r="G437" s="7">
        <f>0+[1]táj.2!G437</f>
        <v>0</v>
      </c>
      <c r="H437" s="7">
        <f>0+[1]táj.2!H437</f>
        <v>0</v>
      </c>
      <c r="I437" s="7">
        <f>0+[1]táj.2!I437</f>
        <v>0</v>
      </c>
      <c r="J437" s="7">
        <f>0+[1]táj.2!J437</f>
        <v>0</v>
      </c>
      <c r="K437" s="7">
        <f>0+[1]táj.2!K437</f>
        <v>0</v>
      </c>
      <c r="L437" s="7">
        <f>0+[1]táj.2!L437</f>
        <v>0</v>
      </c>
      <c r="M437" s="7">
        <f>4051+[1]táj.2!M437</f>
        <v>4051</v>
      </c>
      <c r="N437" s="7">
        <f>0+[1]táj.2!N437</f>
        <v>0</v>
      </c>
      <c r="O437" s="7">
        <f>0+[1]táj.2!O437</f>
        <v>0</v>
      </c>
      <c r="P437" s="7">
        <f>0+[1]táj.2!P437</f>
        <v>0</v>
      </c>
      <c r="Q437" s="7">
        <f t="shared" si="25"/>
        <v>4051</v>
      </c>
    </row>
    <row r="438" spans="1:17" ht="28.5" customHeight="1" x14ac:dyDescent="0.2">
      <c r="A438" s="135"/>
      <c r="B438" s="135"/>
      <c r="C438" s="283" t="s">
        <v>1037</v>
      </c>
      <c r="D438" s="608" t="s">
        <v>1041</v>
      </c>
      <c r="E438" s="187"/>
      <c r="F438" s="7">
        <v>155425</v>
      </c>
      <c r="G438" s="7">
        <f>0+[1]táj.2!G438</f>
        <v>0</v>
      </c>
      <c r="H438" s="7">
        <f>0+[1]táj.2!H438</f>
        <v>0</v>
      </c>
      <c r="I438" s="7">
        <f>0+[1]táj.2!I438</f>
        <v>0</v>
      </c>
      <c r="J438" s="7">
        <f>0+[1]táj.2!J438</f>
        <v>0</v>
      </c>
      <c r="K438" s="7">
        <f>0+[1]táj.2!K438</f>
        <v>0</v>
      </c>
      <c r="L438" s="7">
        <f>0+[1]táj.2!L438</f>
        <v>0</v>
      </c>
      <c r="M438" s="7">
        <f>0+[1]táj.2!M438</f>
        <v>0</v>
      </c>
      <c r="N438" s="7">
        <f>0+[1]táj.2!N438</f>
        <v>0</v>
      </c>
      <c r="O438" s="7">
        <f>0+[1]táj.2!O438</f>
        <v>0</v>
      </c>
      <c r="P438" s="7">
        <f>0+[1]táj.2!P438</f>
        <v>0</v>
      </c>
      <c r="Q438" s="7">
        <f t="shared" si="25"/>
        <v>0</v>
      </c>
    </row>
    <row r="439" spans="1:17" ht="29.25" customHeight="1" x14ac:dyDescent="0.2">
      <c r="A439" s="135"/>
      <c r="B439" s="135"/>
      <c r="C439" s="283" t="s">
        <v>1039</v>
      </c>
      <c r="D439" s="642" t="s">
        <v>1042</v>
      </c>
      <c r="E439" s="187"/>
      <c r="F439" s="7">
        <v>152405</v>
      </c>
      <c r="G439" s="7">
        <f>0+[1]táj.2!G439</f>
        <v>0</v>
      </c>
      <c r="H439" s="7">
        <f>0+[1]táj.2!H439</f>
        <v>0</v>
      </c>
      <c r="I439" s="7">
        <f>6308+[1]táj.2!I439</f>
        <v>6308</v>
      </c>
      <c r="J439" s="7">
        <f>0+[1]táj.2!J439</f>
        <v>0</v>
      </c>
      <c r="K439" s="7">
        <f>0+[1]táj.2!K439</f>
        <v>0</v>
      </c>
      <c r="L439" s="7">
        <f>4000+[1]táj.2!L439</f>
        <v>4000</v>
      </c>
      <c r="M439" s="7">
        <f>2250+[1]táj.2!M439</f>
        <v>2250</v>
      </c>
      <c r="N439" s="7">
        <f>0+[1]táj.2!N439</f>
        <v>0</v>
      </c>
      <c r="O439" s="7">
        <f>0+[1]táj.2!O439</f>
        <v>0</v>
      </c>
      <c r="P439" s="7">
        <f>0+[1]táj.2!P439</f>
        <v>0</v>
      </c>
      <c r="Q439" s="7">
        <f t="shared" si="25"/>
        <v>12558</v>
      </c>
    </row>
    <row r="440" spans="1:17" ht="15.75" customHeight="1" x14ac:dyDescent="0.2">
      <c r="A440" s="135"/>
      <c r="B440" s="135"/>
      <c r="C440" s="292" t="s">
        <v>201</v>
      </c>
      <c r="D440" s="293" t="s">
        <v>1044</v>
      </c>
      <c r="E440" s="9"/>
      <c r="F440" s="8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8.75" customHeight="1" x14ac:dyDescent="0.2">
      <c r="A441" s="135"/>
      <c r="B441" s="135"/>
      <c r="C441" s="178" t="s">
        <v>1045</v>
      </c>
      <c r="D441" s="284" t="s">
        <v>1046</v>
      </c>
      <c r="E441" s="596"/>
      <c r="F441" s="7">
        <v>152564</v>
      </c>
      <c r="G441" s="7">
        <f>0+[1]táj.2!G441</f>
        <v>0</v>
      </c>
      <c r="H441" s="7">
        <f>0+[1]táj.2!H441</f>
        <v>0</v>
      </c>
      <c r="I441" s="7">
        <f>0+[1]táj.2!I441</f>
        <v>0</v>
      </c>
      <c r="J441" s="7">
        <f>0+[1]táj.2!J441</f>
        <v>0</v>
      </c>
      <c r="K441" s="7">
        <f>0+[1]táj.2!K441</f>
        <v>0</v>
      </c>
      <c r="L441" s="7">
        <f>2000+[1]táj.2!L441</f>
        <v>2000</v>
      </c>
      <c r="M441" s="7">
        <f>0+[1]táj.2!M441</f>
        <v>0</v>
      </c>
      <c r="N441" s="7">
        <f>0+[1]táj.2!N441</f>
        <v>0</v>
      </c>
      <c r="O441" s="7">
        <f>0+[1]táj.2!O441</f>
        <v>0</v>
      </c>
      <c r="P441" s="7">
        <f>0+[1]táj.2!P441</f>
        <v>0</v>
      </c>
      <c r="Q441" s="7">
        <f t="shared" ref="Q441:Q454" si="26">SUM(G441:P441)</f>
        <v>2000</v>
      </c>
    </row>
    <row r="442" spans="1:17" ht="18.75" customHeight="1" x14ac:dyDescent="0.2">
      <c r="A442" s="135"/>
      <c r="B442" s="135"/>
      <c r="C442" s="178" t="s">
        <v>1047</v>
      </c>
      <c r="D442" s="261" t="s">
        <v>1048</v>
      </c>
      <c r="E442" s="596"/>
      <c r="F442" s="7">
        <v>152565</v>
      </c>
      <c r="G442" s="7">
        <f>0+[1]táj.2!G442</f>
        <v>0</v>
      </c>
      <c r="H442" s="7">
        <f>0+[1]táj.2!H442</f>
        <v>0</v>
      </c>
      <c r="I442" s="7">
        <f>0+[1]táj.2!I442</f>
        <v>0</v>
      </c>
      <c r="J442" s="7">
        <f>0+[1]táj.2!J442</f>
        <v>0</v>
      </c>
      <c r="K442" s="7">
        <f>0+[1]táj.2!K442</f>
        <v>0</v>
      </c>
      <c r="L442" s="7">
        <f>0+[1]táj.2!L442</f>
        <v>0</v>
      </c>
      <c r="M442" s="7">
        <f>0+[1]táj.2!M442</f>
        <v>0</v>
      </c>
      <c r="N442" s="7">
        <f>300+[1]táj.2!N442</f>
        <v>0</v>
      </c>
      <c r="O442" s="7">
        <f>0+[1]táj.2!O442</f>
        <v>0</v>
      </c>
      <c r="P442" s="7">
        <f>0+[1]táj.2!P442</f>
        <v>0</v>
      </c>
      <c r="Q442" s="7">
        <f t="shared" si="26"/>
        <v>0</v>
      </c>
    </row>
    <row r="443" spans="1:17" ht="18.75" customHeight="1" x14ac:dyDescent="0.2">
      <c r="A443" s="135"/>
      <c r="B443" s="135"/>
      <c r="C443" s="178" t="s">
        <v>1049</v>
      </c>
      <c r="D443" s="200" t="s">
        <v>1050</v>
      </c>
      <c r="E443" s="9"/>
      <c r="F443" s="7">
        <v>152504</v>
      </c>
      <c r="G443" s="7">
        <f>0+[1]táj.2!G443</f>
        <v>0</v>
      </c>
      <c r="H443" s="7">
        <f>0+[1]táj.2!H443</f>
        <v>0</v>
      </c>
      <c r="I443" s="7">
        <f>0+[1]táj.2!I443</f>
        <v>0</v>
      </c>
      <c r="J443" s="7">
        <f>0+[1]táj.2!J443</f>
        <v>0</v>
      </c>
      <c r="K443" s="7">
        <f>0+[1]táj.2!K443</f>
        <v>0</v>
      </c>
      <c r="L443" s="7">
        <f>0+[1]táj.2!L443</f>
        <v>0</v>
      </c>
      <c r="M443" s="7">
        <f>2500+[1]táj.2!M443</f>
        <v>0</v>
      </c>
      <c r="N443" s="7">
        <f>0+[1]táj.2!N443</f>
        <v>0</v>
      </c>
      <c r="O443" s="7">
        <f>0+[1]táj.2!O443</f>
        <v>0</v>
      </c>
      <c r="P443" s="7">
        <f>0+[1]táj.2!P443</f>
        <v>0</v>
      </c>
      <c r="Q443" s="7">
        <f t="shared" si="26"/>
        <v>0</v>
      </c>
    </row>
    <row r="444" spans="1:17" ht="18.75" customHeight="1" x14ac:dyDescent="0.2">
      <c r="A444" s="135"/>
      <c r="B444" s="135"/>
      <c r="C444" s="178" t="s">
        <v>1051</v>
      </c>
      <c r="D444" s="284" t="s">
        <v>1052</v>
      </c>
      <c r="E444" s="9"/>
      <c r="F444" s="7">
        <v>152566</v>
      </c>
      <c r="G444" s="7">
        <f>0+[1]táj.2!G444</f>
        <v>0</v>
      </c>
      <c r="H444" s="7">
        <f>0+[1]táj.2!H444</f>
        <v>0</v>
      </c>
      <c r="I444" s="7">
        <f>0+[1]táj.2!I444</f>
        <v>0</v>
      </c>
      <c r="J444" s="7">
        <f>0+[1]táj.2!J444</f>
        <v>0</v>
      </c>
      <c r="K444" s="7">
        <f>0+[1]táj.2!K444</f>
        <v>0</v>
      </c>
      <c r="L444" s="7">
        <f>3000+[1]táj.2!L444</f>
        <v>0</v>
      </c>
      <c r="M444" s="7">
        <f>0+[1]táj.2!M444</f>
        <v>0</v>
      </c>
      <c r="N444" s="7">
        <f>0+[1]táj.2!N444</f>
        <v>0</v>
      </c>
      <c r="O444" s="7">
        <f>0+[1]táj.2!O444</f>
        <v>0</v>
      </c>
      <c r="P444" s="7">
        <f>0+[1]táj.2!P444</f>
        <v>0</v>
      </c>
      <c r="Q444" s="7">
        <f t="shared" si="26"/>
        <v>0</v>
      </c>
    </row>
    <row r="445" spans="1:17" ht="18.75" customHeight="1" x14ac:dyDescent="0.2">
      <c r="A445" s="135"/>
      <c r="B445" s="135"/>
      <c r="C445" s="178" t="s">
        <v>1053</v>
      </c>
      <c r="D445" s="200" t="s">
        <v>1054</v>
      </c>
      <c r="E445" s="9"/>
      <c r="F445" s="7">
        <v>152567</v>
      </c>
      <c r="G445" s="7">
        <f>0+[1]táj.2!G445</f>
        <v>0</v>
      </c>
      <c r="H445" s="7">
        <f>0+[1]táj.2!H445</f>
        <v>0</v>
      </c>
      <c r="I445" s="7">
        <f>0+[1]táj.2!I445</f>
        <v>0</v>
      </c>
      <c r="J445" s="7">
        <f>0+[1]táj.2!J445</f>
        <v>0</v>
      </c>
      <c r="K445" s="7">
        <f>0+[1]táj.2!K445</f>
        <v>0</v>
      </c>
      <c r="L445" s="7">
        <f>2500+[1]táj.2!L445</f>
        <v>1000</v>
      </c>
      <c r="M445" s="7">
        <f>0+[1]táj.2!M445</f>
        <v>0</v>
      </c>
      <c r="N445" s="7">
        <f>0+[1]táj.2!N445</f>
        <v>0</v>
      </c>
      <c r="O445" s="7">
        <f>0+[1]táj.2!O445</f>
        <v>0</v>
      </c>
      <c r="P445" s="7">
        <f>0+[1]táj.2!P445</f>
        <v>0</v>
      </c>
      <c r="Q445" s="7">
        <f t="shared" si="26"/>
        <v>1000</v>
      </c>
    </row>
    <row r="446" spans="1:17" ht="18.75" customHeight="1" x14ac:dyDescent="0.2">
      <c r="A446" s="135"/>
      <c r="B446" s="135"/>
      <c r="C446" s="178" t="s">
        <v>1055</v>
      </c>
      <c r="D446" s="200" t="s">
        <v>1056</v>
      </c>
      <c r="E446" s="9"/>
      <c r="F446" s="7">
        <v>152568</v>
      </c>
      <c r="G446" s="7">
        <f>0+[1]táj.2!G446</f>
        <v>0</v>
      </c>
      <c r="H446" s="7">
        <f>0+[1]táj.2!H446</f>
        <v>0</v>
      </c>
      <c r="I446" s="7">
        <f>0+[1]táj.2!I446</f>
        <v>0</v>
      </c>
      <c r="J446" s="7">
        <f>0+[1]táj.2!J446</f>
        <v>0</v>
      </c>
      <c r="K446" s="7">
        <f>0+[1]táj.2!K446</f>
        <v>0</v>
      </c>
      <c r="L446" s="7">
        <f>500+[1]táj.2!L446</f>
        <v>0</v>
      </c>
      <c r="M446" s="7">
        <f>0+[1]táj.2!M446</f>
        <v>0</v>
      </c>
      <c r="N446" s="7">
        <f>0+[1]táj.2!N446</f>
        <v>0</v>
      </c>
      <c r="O446" s="7">
        <f>0+[1]táj.2!O446</f>
        <v>0</v>
      </c>
      <c r="P446" s="7">
        <f>0+[1]táj.2!P446</f>
        <v>0</v>
      </c>
      <c r="Q446" s="7">
        <f t="shared" si="26"/>
        <v>0</v>
      </c>
    </row>
    <row r="447" spans="1:17" ht="18.75" customHeight="1" x14ac:dyDescent="0.2">
      <c r="A447" s="135"/>
      <c r="B447" s="135"/>
      <c r="C447" s="178" t="s">
        <v>1057</v>
      </c>
      <c r="D447" s="452" t="s">
        <v>1058</v>
      </c>
      <c r="E447" s="9"/>
      <c r="F447" s="7">
        <v>152569</v>
      </c>
      <c r="G447" s="7">
        <f>0+[1]táj.2!G447</f>
        <v>0</v>
      </c>
      <c r="H447" s="7">
        <f>0+[1]táj.2!H447</f>
        <v>0</v>
      </c>
      <c r="I447" s="7">
        <f>0+[1]táj.2!I447</f>
        <v>0</v>
      </c>
      <c r="J447" s="7">
        <f>0+[1]táj.2!J447</f>
        <v>0</v>
      </c>
      <c r="K447" s="7">
        <f>0+[1]táj.2!K447</f>
        <v>0</v>
      </c>
      <c r="L447" s="7">
        <f>1000+[1]táj.2!L447</f>
        <v>0</v>
      </c>
      <c r="M447" s="7">
        <f>0+[1]táj.2!M447</f>
        <v>0</v>
      </c>
      <c r="N447" s="7">
        <f>0+[1]táj.2!N447</f>
        <v>0</v>
      </c>
      <c r="O447" s="7">
        <f>0+[1]táj.2!O447</f>
        <v>0</v>
      </c>
      <c r="P447" s="7">
        <f>0+[1]táj.2!P447</f>
        <v>0</v>
      </c>
      <c r="Q447" s="7">
        <f t="shared" si="26"/>
        <v>0</v>
      </c>
    </row>
    <row r="448" spans="1:17" ht="18" customHeight="1" x14ac:dyDescent="0.2">
      <c r="A448" s="135"/>
      <c r="B448" s="135"/>
      <c r="C448" s="178" t="s">
        <v>1059</v>
      </c>
      <c r="D448" s="452" t="s">
        <v>1060</v>
      </c>
      <c r="E448" s="596"/>
      <c r="F448" s="7">
        <v>152570</v>
      </c>
      <c r="G448" s="7">
        <f>0+[1]táj.2!G448</f>
        <v>0</v>
      </c>
      <c r="H448" s="7">
        <f>0+[1]táj.2!H448</f>
        <v>0</v>
      </c>
      <c r="I448" s="7">
        <f>0+[1]táj.2!I448</f>
        <v>0</v>
      </c>
      <c r="J448" s="7">
        <f>0+[1]táj.2!J448</f>
        <v>0</v>
      </c>
      <c r="K448" s="7">
        <f>0+[1]táj.2!K448</f>
        <v>0</v>
      </c>
      <c r="L448" s="7">
        <f>750+[1]táj.2!L448</f>
        <v>0</v>
      </c>
      <c r="M448" s="7">
        <f>0+[1]táj.2!M448</f>
        <v>0</v>
      </c>
      <c r="N448" s="7">
        <f>0+[1]táj.2!N448</f>
        <v>0</v>
      </c>
      <c r="O448" s="7">
        <f>0+[1]táj.2!O448</f>
        <v>0</v>
      </c>
      <c r="P448" s="7">
        <f>0+[1]táj.2!P448</f>
        <v>0</v>
      </c>
      <c r="Q448" s="7">
        <f t="shared" si="26"/>
        <v>0</v>
      </c>
    </row>
    <row r="449" spans="1:17" ht="18" customHeight="1" x14ac:dyDescent="0.2">
      <c r="A449" s="135"/>
      <c r="B449" s="135"/>
      <c r="C449" s="178" t="s">
        <v>1061</v>
      </c>
      <c r="D449" s="284" t="s">
        <v>1062</v>
      </c>
      <c r="E449" s="596"/>
      <c r="F449" s="7">
        <v>154541</v>
      </c>
      <c r="G449" s="7">
        <f>0+[1]táj.2!G449</f>
        <v>0</v>
      </c>
      <c r="H449" s="7">
        <f>0+[1]táj.2!H449</f>
        <v>0</v>
      </c>
      <c r="I449" s="7">
        <f>0+[1]táj.2!I449</f>
        <v>0</v>
      </c>
      <c r="J449" s="7">
        <f>0+[1]táj.2!J449</f>
        <v>0</v>
      </c>
      <c r="K449" s="7">
        <f>0+[1]táj.2!K449</f>
        <v>0</v>
      </c>
      <c r="L449" s="7">
        <f>3000+[1]táj.2!L449</f>
        <v>0</v>
      </c>
      <c r="M449" s="7">
        <f>0+[1]táj.2!M449</f>
        <v>0</v>
      </c>
      <c r="N449" s="7">
        <f>0+[1]táj.2!N449</f>
        <v>0</v>
      </c>
      <c r="O449" s="7">
        <f>0+[1]táj.2!O449</f>
        <v>0</v>
      </c>
      <c r="P449" s="7">
        <f>0+[1]táj.2!P449</f>
        <v>0</v>
      </c>
      <c r="Q449" s="7">
        <f t="shared" si="26"/>
        <v>0</v>
      </c>
    </row>
    <row r="450" spans="1:17" ht="18.75" customHeight="1" x14ac:dyDescent="0.2">
      <c r="A450" s="135"/>
      <c r="B450" s="135"/>
      <c r="C450" s="178" t="s">
        <v>1063</v>
      </c>
      <c r="D450" s="284" t="s">
        <v>1064</v>
      </c>
      <c r="E450" s="596"/>
      <c r="F450" s="7">
        <v>154544</v>
      </c>
      <c r="G450" s="7">
        <f>0+[1]táj.2!G450</f>
        <v>0</v>
      </c>
      <c r="H450" s="7">
        <f>0+[1]táj.2!H450</f>
        <v>0</v>
      </c>
      <c r="I450" s="7">
        <f>0+[1]táj.2!I450</f>
        <v>0</v>
      </c>
      <c r="J450" s="7">
        <f>0+[1]táj.2!J450</f>
        <v>0</v>
      </c>
      <c r="K450" s="7">
        <f>0+[1]táj.2!K450</f>
        <v>0</v>
      </c>
      <c r="L450" s="7">
        <f>0+[1]táj.2!L450</f>
        <v>0</v>
      </c>
      <c r="M450" s="7">
        <f>3000+[1]táj.2!M450</f>
        <v>0</v>
      </c>
      <c r="N450" s="7">
        <f>0+[1]táj.2!N450</f>
        <v>0</v>
      </c>
      <c r="O450" s="7">
        <f>0+[1]táj.2!O450</f>
        <v>0</v>
      </c>
      <c r="P450" s="7">
        <f>0+[1]táj.2!P450</f>
        <v>0</v>
      </c>
      <c r="Q450" s="7">
        <f t="shared" si="26"/>
        <v>0</v>
      </c>
    </row>
    <row r="451" spans="1:17" ht="18.75" customHeight="1" x14ac:dyDescent="0.2">
      <c r="A451" s="135"/>
      <c r="B451" s="135"/>
      <c r="C451" s="178" t="s">
        <v>1065</v>
      </c>
      <c r="D451" s="290" t="s">
        <v>1066</v>
      </c>
      <c r="E451" s="596"/>
      <c r="F451" s="7">
        <v>152571</v>
      </c>
      <c r="G451" s="7">
        <f>0+[1]táj.2!G451</f>
        <v>0</v>
      </c>
      <c r="H451" s="7">
        <f>0+[1]táj.2!H451</f>
        <v>0</v>
      </c>
      <c r="I451" s="7">
        <f>0+[1]táj.2!I451</f>
        <v>0</v>
      </c>
      <c r="J451" s="7">
        <f>0+[1]táj.2!J451</f>
        <v>0</v>
      </c>
      <c r="K451" s="7">
        <f>0+[1]táj.2!K451</f>
        <v>0</v>
      </c>
      <c r="L451" s="7">
        <f>9000+[1]táj.2!L451</f>
        <v>0</v>
      </c>
      <c r="M451" s="7">
        <f>0+[1]táj.2!M451</f>
        <v>0</v>
      </c>
      <c r="N451" s="7">
        <f>0+[1]táj.2!N451</f>
        <v>0</v>
      </c>
      <c r="O451" s="7">
        <f>0+[1]táj.2!O451</f>
        <v>0</v>
      </c>
      <c r="P451" s="7">
        <f>0+[1]táj.2!P451</f>
        <v>0</v>
      </c>
      <c r="Q451" s="7">
        <f t="shared" si="26"/>
        <v>0</v>
      </c>
    </row>
    <row r="452" spans="1:17" ht="23.25" customHeight="1" x14ac:dyDescent="0.2">
      <c r="A452" s="135"/>
      <c r="B452" s="135"/>
      <c r="C452" s="178" t="s">
        <v>1067</v>
      </c>
      <c r="D452" s="290" t="s">
        <v>1068</v>
      </c>
      <c r="E452" s="596"/>
      <c r="F452" s="7">
        <v>152572</v>
      </c>
      <c r="G452" s="7">
        <f>0+[1]táj.2!G452</f>
        <v>0</v>
      </c>
      <c r="H452" s="7">
        <f>0+[1]táj.2!H452</f>
        <v>0</v>
      </c>
      <c r="I452" s="7">
        <f>0+[1]táj.2!I452</f>
        <v>0</v>
      </c>
      <c r="J452" s="7">
        <f>0+[1]táj.2!J452</f>
        <v>0</v>
      </c>
      <c r="K452" s="7">
        <f>0+[1]táj.2!K452</f>
        <v>0</v>
      </c>
      <c r="L452" s="7">
        <f>18000+[1]táj.2!L452</f>
        <v>18491</v>
      </c>
      <c r="M452" s="7">
        <f>0+[1]táj.2!M452</f>
        <v>0</v>
      </c>
      <c r="N452" s="7">
        <f>0+[1]táj.2!N452</f>
        <v>0</v>
      </c>
      <c r="O452" s="7">
        <f>0+[1]táj.2!O452</f>
        <v>0</v>
      </c>
      <c r="P452" s="7">
        <f>0+[1]táj.2!P452</f>
        <v>0</v>
      </c>
      <c r="Q452" s="7">
        <f t="shared" si="26"/>
        <v>18491</v>
      </c>
    </row>
    <row r="453" spans="1:17" ht="24.75" customHeight="1" x14ac:dyDescent="0.2">
      <c r="A453" s="135"/>
      <c r="B453" s="135"/>
      <c r="C453" s="178" t="s">
        <v>1069</v>
      </c>
      <c r="D453" s="290" t="s">
        <v>80</v>
      </c>
      <c r="E453" s="596"/>
      <c r="F453" s="7">
        <v>152573</v>
      </c>
      <c r="G453" s="7">
        <f>0+[1]táj.2!G453</f>
        <v>0</v>
      </c>
      <c r="H453" s="7">
        <f>0+[1]táj.2!H453</f>
        <v>0</v>
      </c>
      <c r="I453" s="7">
        <f>0+[1]táj.2!I453</f>
        <v>0</v>
      </c>
      <c r="J453" s="7">
        <f>0+[1]táj.2!J453</f>
        <v>0</v>
      </c>
      <c r="K453" s="7">
        <f>0+[1]táj.2!K453</f>
        <v>0</v>
      </c>
      <c r="L453" s="7">
        <f>2000+[1]táj.2!L453</f>
        <v>2000</v>
      </c>
      <c r="M453" s="7">
        <f>0+[1]táj.2!M453</f>
        <v>0</v>
      </c>
      <c r="N453" s="7">
        <f>0+[1]táj.2!N453</f>
        <v>0</v>
      </c>
      <c r="O453" s="7">
        <f>0+[1]táj.2!O453</f>
        <v>0</v>
      </c>
      <c r="P453" s="7">
        <f>0+[1]táj.2!P453</f>
        <v>0</v>
      </c>
      <c r="Q453" s="7">
        <f t="shared" si="26"/>
        <v>2000</v>
      </c>
    </row>
    <row r="454" spans="1:17" ht="17.100000000000001" customHeight="1" x14ac:dyDescent="0.2">
      <c r="A454" s="135"/>
      <c r="B454" s="135"/>
      <c r="C454" s="178" t="s">
        <v>1070</v>
      </c>
      <c r="D454" s="290" t="s">
        <v>1071</v>
      </c>
      <c r="E454" s="596"/>
      <c r="F454" s="7">
        <v>152948</v>
      </c>
      <c r="G454" s="7">
        <f>0+[1]táj.2!G454</f>
        <v>0</v>
      </c>
      <c r="H454" s="7">
        <f>0+[1]táj.2!H454</f>
        <v>0</v>
      </c>
      <c r="I454" s="7">
        <f>0+[1]táj.2!I454</f>
        <v>0</v>
      </c>
      <c r="J454" s="7">
        <f>0+[1]táj.2!J454</f>
        <v>0</v>
      </c>
      <c r="K454" s="7">
        <f>0+[1]táj.2!K454</f>
        <v>0</v>
      </c>
      <c r="L454" s="7">
        <f>500+[1]táj.2!L454</f>
        <v>500</v>
      </c>
      <c r="M454" s="7">
        <f>0+[1]táj.2!M454</f>
        <v>0</v>
      </c>
      <c r="N454" s="7">
        <f>0+[1]táj.2!N454</f>
        <v>0</v>
      </c>
      <c r="O454" s="7">
        <f>0+[1]táj.2!O454</f>
        <v>0</v>
      </c>
      <c r="P454" s="7">
        <f>0+[1]táj.2!P454</f>
        <v>0</v>
      </c>
      <c r="Q454" s="7">
        <f t="shared" si="26"/>
        <v>500</v>
      </c>
    </row>
    <row r="455" spans="1:17" ht="17.100000000000001" customHeight="1" x14ac:dyDescent="0.2">
      <c r="A455" s="135"/>
      <c r="B455" s="135"/>
      <c r="C455" s="135"/>
      <c r="D455" s="247" t="s">
        <v>584</v>
      </c>
      <c r="E455" s="9"/>
      <c r="F455" s="8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7.100000000000001" customHeight="1" x14ac:dyDescent="0.2">
      <c r="A456" s="135"/>
      <c r="B456" s="135"/>
      <c r="C456" s="294" t="s">
        <v>1072</v>
      </c>
      <c r="D456" s="609" t="s">
        <v>1073</v>
      </c>
      <c r="E456" s="289"/>
      <c r="F456" s="7">
        <v>154511</v>
      </c>
      <c r="G456" s="7">
        <f>0+[1]táj.2!G456</f>
        <v>0</v>
      </c>
      <c r="H456" s="7">
        <f>0+[1]táj.2!H456</f>
        <v>0</v>
      </c>
      <c r="I456" s="7">
        <f>514+[1]táj.2!I456</f>
        <v>514</v>
      </c>
      <c r="J456" s="7">
        <f>0+[1]táj.2!J456</f>
        <v>0</v>
      </c>
      <c r="K456" s="7">
        <f>0+[1]táj.2!K456</f>
        <v>0</v>
      </c>
      <c r="L456" s="7">
        <f>0+[1]táj.2!L456</f>
        <v>0</v>
      </c>
      <c r="M456" s="7">
        <f>853+[1]táj.2!M456</f>
        <v>853</v>
      </c>
      <c r="N456" s="7">
        <f>0+[1]táj.2!N456</f>
        <v>0</v>
      </c>
      <c r="O456" s="7">
        <f>0+[1]táj.2!O456</f>
        <v>0</v>
      </c>
      <c r="P456" s="7">
        <f>0+[1]táj.2!P456</f>
        <v>0</v>
      </c>
      <c r="Q456" s="7">
        <f>SUM(G456:P456)</f>
        <v>1367</v>
      </c>
    </row>
    <row r="457" spans="1:17" ht="24" customHeight="1" x14ac:dyDescent="0.2">
      <c r="A457" s="135"/>
      <c r="B457" s="135"/>
      <c r="C457" s="294" t="s">
        <v>1074</v>
      </c>
      <c r="D457" s="139" t="s">
        <v>1075</v>
      </c>
      <c r="E457" s="9"/>
      <c r="F457" s="7">
        <v>152555</v>
      </c>
      <c r="G457" s="7">
        <f>0+[1]táj.2!G457</f>
        <v>0</v>
      </c>
      <c r="H457" s="7">
        <f>0+[1]táj.2!H457</f>
        <v>0</v>
      </c>
      <c r="I457" s="7">
        <f>0+[1]táj.2!I457</f>
        <v>0</v>
      </c>
      <c r="J457" s="7">
        <f>0+[1]táj.2!J457</f>
        <v>0</v>
      </c>
      <c r="K457" s="7">
        <f>0+[1]táj.2!K457</f>
        <v>0</v>
      </c>
      <c r="L457" s="7">
        <f>3304+[1]táj.2!L457</f>
        <v>3304</v>
      </c>
      <c r="M457" s="7">
        <f>0+[1]táj.2!M457</f>
        <v>0</v>
      </c>
      <c r="N457" s="7">
        <f>0+[1]táj.2!N457</f>
        <v>0</v>
      </c>
      <c r="O457" s="7">
        <f>0+[1]táj.2!O457</f>
        <v>0</v>
      </c>
      <c r="P457" s="7">
        <f>0+[1]táj.2!P457</f>
        <v>0</v>
      </c>
      <c r="Q457" s="7">
        <f>SUM(G457:P457)</f>
        <v>3304</v>
      </c>
    </row>
    <row r="458" spans="1:17" ht="17.100000000000001" customHeight="1" x14ac:dyDescent="0.2">
      <c r="A458" s="135"/>
      <c r="B458" s="135"/>
      <c r="C458" s="294" t="s">
        <v>1076</v>
      </c>
      <c r="D458" s="200" t="s">
        <v>1077</v>
      </c>
      <c r="E458" s="700"/>
      <c r="F458" s="7">
        <v>152507</v>
      </c>
      <c r="G458" s="7">
        <f>0+[1]táj.2!G458</f>
        <v>0</v>
      </c>
      <c r="H458" s="7">
        <f>0+[1]táj.2!H458</f>
        <v>0</v>
      </c>
      <c r="I458" s="7">
        <f>0+[1]táj.2!I458</f>
        <v>0</v>
      </c>
      <c r="J458" s="7">
        <f>0+[1]táj.2!J458</f>
        <v>0</v>
      </c>
      <c r="K458" s="7">
        <f>0+[1]táj.2!K458</f>
        <v>0</v>
      </c>
      <c r="L458" s="7">
        <f>1000+[1]táj.2!L458</f>
        <v>1000</v>
      </c>
      <c r="M458" s="7">
        <f>0+[1]táj.2!M458</f>
        <v>0</v>
      </c>
      <c r="N458" s="7">
        <f>0+[1]táj.2!N458</f>
        <v>0</v>
      </c>
      <c r="O458" s="7">
        <f>0+[1]táj.2!O458</f>
        <v>0</v>
      </c>
      <c r="P458" s="7">
        <f>0+[1]táj.2!P458</f>
        <v>0</v>
      </c>
      <c r="Q458" s="7">
        <f>SUM(G458:P458)</f>
        <v>1000</v>
      </c>
    </row>
    <row r="459" spans="1:17" ht="26.25" customHeight="1" x14ac:dyDescent="0.2">
      <c r="A459" s="135"/>
      <c r="B459" s="135"/>
      <c r="C459" s="294" t="s">
        <v>1078</v>
      </c>
      <c r="D459" s="200" t="s">
        <v>1079</v>
      </c>
      <c r="E459" s="700"/>
      <c r="F459" s="7">
        <v>152561</v>
      </c>
      <c r="G459" s="7">
        <f>0+[1]táj.2!G459</f>
        <v>0</v>
      </c>
      <c r="H459" s="7">
        <f>0+[1]táj.2!H459</f>
        <v>0</v>
      </c>
      <c r="I459" s="7">
        <f>0+[1]táj.2!I459</f>
        <v>0</v>
      </c>
      <c r="J459" s="7">
        <f>0+[1]táj.2!J459</f>
        <v>0</v>
      </c>
      <c r="K459" s="7">
        <f>0+[1]táj.2!K459</f>
        <v>0</v>
      </c>
      <c r="L459" s="7">
        <f>0+[1]táj.2!L459</f>
        <v>0</v>
      </c>
      <c r="M459" s="7">
        <f>0+[1]táj.2!M459</f>
        <v>0</v>
      </c>
      <c r="N459" s="7">
        <f>300+[1]táj.2!N459</f>
        <v>300</v>
      </c>
      <c r="O459" s="7">
        <f>0+[1]táj.2!O459</f>
        <v>0</v>
      </c>
      <c r="P459" s="7">
        <f>0+[1]táj.2!P459</f>
        <v>0</v>
      </c>
      <c r="Q459" s="7">
        <f>SUM(G459:P459)</f>
        <v>300</v>
      </c>
    </row>
    <row r="460" spans="1:17" ht="18" customHeight="1" x14ac:dyDescent="0.2">
      <c r="A460" s="135"/>
      <c r="B460" s="135"/>
      <c r="C460" s="294" t="s">
        <v>1080</v>
      </c>
      <c r="D460" s="200" t="s">
        <v>1081</v>
      </c>
      <c r="E460" s="700"/>
      <c r="F460" s="7">
        <v>152562</v>
      </c>
      <c r="G460" s="7">
        <f>0+[1]táj.2!G460</f>
        <v>0</v>
      </c>
      <c r="H460" s="7">
        <f>0+[1]táj.2!H460</f>
        <v>0</v>
      </c>
      <c r="I460" s="7">
        <f>0+[1]táj.2!I460</f>
        <v>0</v>
      </c>
      <c r="J460" s="7">
        <f>0+[1]táj.2!J460</f>
        <v>0</v>
      </c>
      <c r="K460" s="7">
        <f>0+[1]táj.2!K460</f>
        <v>0</v>
      </c>
      <c r="L460" s="7">
        <f>12300+[1]táj.2!L460</f>
        <v>12300</v>
      </c>
      <c r="M460" s="7">
        <f>0+[1]táj.2!M460</f>
        <v>0</v>
      </c>
      <c r="N460" s="7">
        <f>0+[1]táj.2!N460</f>
        <v>0</v>
      </c>
      <c r="O460" s="7">
        <f>0+[1]táj.2!O460</f>
        <v>0</v>
      </c>
      <c r="P460" s="7">
        <f>0+[1]táj.2!P460</f>
        <v>0</v>
      </c>
      <c r="Q460" s="7">
        <f>SUM(G460:P460)</f>
        <v>12300</v>
      </c>
    </row>
    <row r="461" spans="1:17" ht="17.100000000000001" customHeight="1" x14ac:dyDescent="0.2">
      <c r="A461" s="135"/>
      <c r="B461" s="135"/>
      <c r="C461" s="295" t="s">
        <v>202</v>
      </c>
      <c r="D461" s="281" t="s">
        <v>1082</v>
      </c>
      <c r="E461" s="9"/>
      <c r="F461" s="8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7.100000000000001" customHeight="1" x14ac:dyDescent="0.2">
      <c r="A462" s="135"/>
      <c r="B462" s="135"/>
      <c r="C462" s="291" t="s">
        <v>203</v>
      </c>
      <c r="D462" s="701" t="s">
        <v>1083</v>
      </c>
      <c r="E462" s="9"/>
      <c r="F462" s="8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7.100000000000001" customHeight="1" x14ac:dyDescent="0.2">
      <c r="A463" s="135"/>
      <c r="B463" s="135"/>
      <c r="C463" s="283" t="s">
        <v>1084</v>
      </c>
      <c r="D463" s="296" t="s">
        <v>1085</v>
      </c>
      <c r="E463" s="9"/>
      <c r="F463" s="7">
        <v>152801</v>
      </c>
      <c r="G463" s="7">
        <f>0+[1]táj.2!G463</f>
        <v>0</v>
      </c>
      <c r="H463" s="7">
        <f>0+[1]táj.2!H463</f>
        <v>0</v>
      </c>
      <c r="I463" s="7">
        <f>0+[1]táj.2!I463</f>
        <v>0</v>
      </c>
      <c r="J463" s="7">
        <f>0+[1]táj.2!J463</f>
        <v>0</v>
      </c>
      <c r="K463" s="7">
        <f>0+[1]táj.2!K463</f>
        <v>0</v>
      </c>
      <c r="L463" s="7">
        <f>5000+[1]táj.2!L463</f>
        <v>800</v>
      </c>
      <c r="M463" s="7">
        <f>0+[1]táj.2!M463</f>
        <v>0</v>
      </c>
      <c r="N463" s="7">
        <f>0+[1]táj.2!N463</f>
        <v>0</v>
      </c>
      <c r="O463" s="7">
        <f>0+[1]táj.2!O463</f>
        <v>0</v>
      </c>
      <c r="P463" s="7">
        <f>0+[1]táj.2!P463</f>
        <v>0</v>
      </c>
      <c r="Q463" s="7">
        <f>SUM(G463:P463)</f>
        <v>800</v>
      </c>
    </row>
    <row r="464" spans="1:17" ht="17.100000000000001" customHeight="1" x14ac:dyDescent="0.2">
      <c r="A464" s="135"/>
      <c r="B464" s="135"/>
      <c r="C464" s="297" t="s">
        <v>204</v>
      </c>
      <c r="D464" s="610" t="s">
        <v>1086</v>
      </c>
      <c r="E464" s="289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17.100000000000001" customHeight="1" x14ac:dyDescent="0.2">
      <c r="A465" s="135"/>
      <c r="B465" s="135"/>
      <c r="C465" s="298" t="s">
        <v>1087</v>
      </c>
      <c r="D465" s="261" t="s">
        <v>1088</v>
      </c>
      <c r="E465" s="289"/>
      <c r="F465" s="7">
        <v>154921</v>
      </c>
      <c r="G465" s="7">
        <f>0+[1]táj.2!G465</f>
        <v>0</v>
      </c>
      <c r="H465" s="7">
        <f>0+[1]táj.2!H465</f>
        <v>0</v>
      </c>
      <c r="I465" s="7">
        <f>0+[1]táj.2!I465</f>
        <v>0</v>
      </c>
      <c r="J465" s="7">
        <f>0+[1]táj.2!J465</f>
        <v>0</v>
      </c>
      <c r="K465" s="7">
        <f>0+[1]táj.2!K465</f>
        <v>0</v>
      </c>
      <c r="L465" s="7">
        <f>0+[1]táj.2!L465</f>
        <v>0</v>
      </c>
      <c r="M465" s="7">
        <f>0+[1]táj.2!M465</f>
        <v>0</v>
      </c>
      <c r="N465" s="7">
        <f>700+[1]táj.2!N465</f>
        <v>700</v>
      </c>
      <c r="O465" s="7">
        <f>0+[1]táj.2!O465</f>
        <v>0</v>
      </c>
      <c r="P465" s="7">
        <f>0+[1]táj.2!P465</f>
        <v>0</v>
      </c>
      <c r="Q465" s="7">
        <f>SUM(G465:P465)</f>
        <v>700</v>
      </c>
    </row>
    <row r="466" spans="1:17" ht="17.100000000000001" customHeight="1" x14ac:dyDescent="0.2">
      <c r="A466" s="135"/>
      <c r="B466" s="135"/>
      <c r="C466" s="298" t="s">
        <v>1089</v>
      </c>
      <c r="D466" s="261" t="s">
        <v>1090</v>
      </c>
      <c r="E466" s="289"/>
      <c r="F466" s="7">
        <v>152947</v>
      </c>
      <c r="G466" s="7">
        <f>0+[1]táj.2!G466</f>
        <v>0</v>
      </c>
      <c r="H466" s="7">
        <f>0+[1]táj.2!H466</f>
        <v>0</v>
      </c>
      <c r="I466" s="7">
        <f>0+[1]táj.2!I466</f>
        <v>0</v>
      </c>
      <c r="J466" s="7">
        <f>0+[1]táj.2!J466</f>
        <v>0</v>
      </c>
      <c r="K466" s="7">
        <f>0+[1]táj.2!K466</f>
        <v>0</v>
      </c>
      <c r="L466" s="7">
        <f>4000+[1]táj.2!L466</f>
        <v>3000</v>
      </c>
      <c r="M466" s="7">
        <f>0+[1]táj.2!M466</f>
        <v>0</v>
      </c>
      <c r="N466" s="7">
        <f>0+[1]táj.2!N466</f>
        <v>0</v>
      </c>
      <c r="O466" s="7">
        <f>0+[1]táj.2!O466</f>
        <v>0</v>
      </c>
      <c r="P466" s="7">
        <f>0+[1]táj.2!P466</f>
        <v>0</v>
      </c>
      <c r="Q466" s="7">
        <f>SUM(G466:P466)</f>
        <v>3000</v>
      </c>
    </row>
    <row r="467" spans="1:17" ht="17.100000000000001" customHeight="1" x14ac:dyDescent="0.2">
      <c r="A467" s="135"/>
      <c r="B467" s="135"/>
      <c r="C467" s="220"/>
      <c r="D467" s="247" t="s">
        <v>584</v>
      </c>
      <c r="E467" s="289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7.100000000000001" customHeight="1" x14ac:dyDescent="0.2">
      <c r="A468" s="135"/>
      <c r="B468" s="135"/>
      <c r="C468" s="178" t="s">
        <v>1091</v>
      </c>
      <c r="D468" s="299" t="s">
        <v>1094</v>
      </c>
      <c r="E468" s="187"/>
      <c r="F468" s="7">
        <v>152937</v>
      </c>
      <c r="G468" s="7">
        <f>0+[1]táj.2!G468</f>
        <v>0</v>
      </c>
      <c r="H468" s="7">
        <f>0+[1]táj.2!H468</f>
        <v>0</v>
      </c>
      <c r="I468" s="7">
        <f>145+[1]táj.2!I468</f>
        <v>195</v>
      </c>
      <c r="J468" s="7">
        <f>0+[1]táj.2!J468</f>
        <v>0</v>
      </c>
      <c r="K468" s="7">
        <f>0+[1]táj.2!K468</f>
        <v>0</v>
      </c>
      <c r="L468" s="7">
        <f>26256+[1]táj.2!L468</f>
        <v>26206</v>
      </c>
      <c r="M468" s="7">
        <f>0+[1]táj.2!M468</f>
        <v>0</v>
      </c>
      <c r="N468" s="7">
        <f>0+[1]táj.2!N468</f>
        <v>0</v>
      </c>
      <c r="O468" s="7">
        <f>0+[1]táj.2!O468</f>
        <v>0</v>
      </c>
      <c r="P468" s="7">
        <f>0+[1]táj.2!P468</f>
        <v>0</v>
      </c>
      <c r="Q468" s="7">
        <f t="shared" ref="Q468:Q473" si="27">SUM(G468:P468)</f>
        <v>26401</v>
      </c>
    </row>
    <row r="469" spans="1:17" ht="17.100000000000001" customHeight="1" x14ac:dyDescent="0.2">
      <c r="A469" s="135"/>
      <c r="B469" s="135"/>
      <c r="C469" s="178" t="s">
        <v>1093</v>
      </c>
      <c r="D469" s="200" t="s">
        <v>1096</v>
      </c>
      <c r="E469" s="596"/>
      <c r="F469" s="7">
        <v>152942</v>
      </c>
      <c r="G469" s="7">
        <f>0+[1]táj.2!G469</f>
        <v>0</v>
      </c>
      <c r="H469" s="7">
        <f>0+[1]táj.2!H469</f>
        <v>0</v>
      </c>
      <c r="I469" s="7">
        <f>7460+[1]táj.2!I469</f>
        <v>7460</v>
      </c>
      <c r="J469" s="7">
        <f>0+[1]táj.2!J469</f>
        <v>0</v>
      </c>
      <c r="K469" s="7">
        <f>0+[1]táj.2!K469</f>
        <v>0</v>
      </c>
      <c r="L469" s="7">
        <f>10000+[1]táj.2!L469</f>
        <v>5000</v>
      </c>
      <c r="M469" s="7">
        <f>0+[1]táj.2!M469</f>
        <v>0</v>
      </c>
      <c r="N469" s="7">
        <f>0+[1]táj.2!N469</f>
        <v>0</v>
      </c>
      <c r="O469" s="7">
        <f>0+[1]táj.2!O469</f>
        <v>0</v>
      </c>
      <c r="P469" s="7">
        <f>0+[1]táj.2!P469</f>
        <v>0</v>
      </c>
      <c r="Q469" s="7">
        <f t="shared" si="27"/>
        <v>12460</v>
      </c>
    </row>
    <row r="470" spans="1:17" ht="26.25" customHeight="1" x14ac:dyDescent="0.2">
      <c r="A470" s="135"/>
      <c r="B470" s="135"/>
      <c r="C470" s="178" t="s">
        <v>1095</v>
      </c>
      <c r="D470" s="200" t="s">
        <v>1098</v>
      </c>
      <c r="E470" s="596"/>
      <c r="F470" s="7">
        <v>152940</v>
      </c>
      <c r="G470" s="7">
        <f>0+[1]táj.2!G470</f>
        <v>0</v>
      </c>
      <c r="H470" s="7">
        <f>0+[1]táj.2!H470</f>
        <v>0</v>
      </c>
      <c r="I470" s="7">
        <f>0+[1]táj.2!I470</f>
        <v>0</v>
      </c>
      <c r="J470" s="7">
        <f>0+[1]táj.2!J470</f>
        <v>0</v>
      </c>
      <c r="K470" s="7">
        <f>0+[1]táj.2!K470</f>
        <v>0</v>
      </c>
      <c r="L470" s="7">
        <f>600+[1]táj.2!L470</f>
        <v>0</v>
      </c>
      <c r="M470" s="7">
        <f>0+[1]táj.2!M470</f>
        <v>0</v>
      </c>
      <c r="N470" s="7">
        <f>0+[1]táj.2!N470</f>
        <v>0</v>
      </c>
      <c r="O470" s="7">
        <f>0+[1]táj.2!O470</f>
        <v>0</v>
      </c>
      <c r="P470" s="7">
        <f>0+[1]táj.2!P470</f>
        <v>0</v>
      </c>
      <c r="Q470" s="7">
        <f t="shared" si="27"/>
        <v>0</v>
      </c>
    </row>
    <row r="471" spans="1:17" ht="17.25" customHeight="1" x14ac:dyDescent="0.2">
      <c r="A471" s="135"/>
      <c r="B471" s="135"/>
      <c r="C471" s="178" t="s">
        <v>1097</v>
      </c>
      <c r="D471" s="200" t="s">
        <v>1100</v>
      </c>
      <c r="E471" s="596"/>
      <c r="F471" s="7">
        <v>152944</v>
      </c>
      <c r="G471" s="7">
        <f>0+[1]táj.2!G471</f>
        <v>0</v>
      </c>
      <c r="H471" s="7">
        <f>0+[1]táj.2!H471</f>
        <v>0</v>
      </c>
      <c r="I471" s="7">
        <f>0+[1]táj.2!I471</f>
        <v>0</v>
      </c>
      <c r="J471" s="7">
        <f>0+[1]táj.2!J471</f>
        <v>0</v>
      </c>
      <c r="K471" s="7">
        <f>0+[1]táj.2!K471</f>
        <v>0</v>
      </c>
      <c r="L471" s="7">
        <f>4333+[1]táj.2!L471</f>
        <v>1333</v>
      </c>
      <c r="M471" s="7">
        <f>0+[1]táj.2!M471</f>
        <v>0</v>
      </c>
      <c r="N471" s="7">
        <f>0+[1]táj.2!N471</f>
        <v>0</v>
      </c>
      <c r="O471" s="7">
        <f>0+[1]táj.2!O471</f>
        <v>0</v>
      </c>
      <c r="P471" s="7">
        <f>0+[1]táj.2!P471</f>
        <v>0</v>
      </c>
      <c r="Q471" s="7">
        <f t="shared" si="27"/>
        <v>1333</v>
      </c>
    </row>
    <row r="472" spans="1:17" ht="19.5" customHeight="1" x14ac:dyDescent="0.2">
      <c r="A472" s="135"/>
      <c r="B472" s="135"/>
      <c r="C472" s="178" t="s">
        <v>1099</v>
      </c>
      <c r="D472" s="200" t="s">
        <v>1102</v>
      </c>
      <c r="E472" s="596"/>
      <c r="F472" s="7">
        <v>154918</v>
      </c>
      <c r="G472" s="7">
        <f>0+[1]táj.2!G472</f>
        <v>0</v>
      </c>
      <c r="H472" s="7">
        <f>0+[1]táj.2!H472</f>
        <v>0</v>
      </c>
      <c r="I472" s="7">
        <f>0+[1]táj.2!I472</f>
        <v>0</v>
      </c>
      <c r="J472" s="7">
        <f>0+[1]táj.2!J472</f>
        <v>0</v>
      </c>
      <c r="K472" s="7">
        <f>0+[1]táj.2!K472</f>
        <v>0</v>
      </c>
      <c r="L472" s="7">
        <f>0+[1]táj.2!L472</f>
        <v>0</v>
      </c>
      <c r="M472" s="7">
        <f>0+[1]táj.2!M472</f>
        <v>0</v>
      </c>
      <c r="N472" s="7">
        <f>0+[1]táj.2!N472</f>
        <v>0</v>
      </c>
      <c r="O472" s="7">
        <f>0+[1]táj.2!O472</f>
        <v>0</v>
      </c>
      <c r="P472" s="7">
        <f>0+[1]táj.2!P472</f>
        <v>0</v>
      </c>
      <c r="Q472" s="7">
        <f t="shared" si="27"/>
        <v>0</v>
      </c>
    </row>
    <row r="473" spans="1:17" ht="18" customHeight="1" x14ac:dyDescent="0.2">
      <c r="A473" s="135"/>
      <c r="B473" s="135"/>
      <c r="C473" s="178" t="s">
        <v>1101</v>
      </c>
      <c r="D473" s="200" t="s">
        <v>1104</v>
      </c>
      <c r="E473" s="596"/>
      <c r="F473" s="7">
        <v>152946</v>
      </c>
      <c r="G473" s="7">
        <f>0+[1]táj.2!G473</f>
        <v>0</v>
      </c>
      <c r="H473" s="7">
        <f>0+[1]táj.2!H473</f>
        <v>0</v>
      </c>
      <c r="I473" s="7">
        <f>0+[1]táj.2!I473</f>
        <v>0</v>
      </c>
      <c r="J473" s="7">
        <f>0+[1]táj.2!J473</f>
        <v>0</v>
      </c>
      <c r="K473" s="7">
        <f>0+[1]táj.2!K473</f>
        <v>0</v>
      </c>
      <c r="L473" s="7">
        <f>9998+[1]táj.2!L473</f>
        <v>9998</v>
      </c>
      <c r="M473" s="7">
        <f>0+[1]táj.2!M473</f>
        <v>0</v>
      </c>
      <c r="N473" s="7">
        <f>0+[1]táj.2!N473</f>
        <v>0</v>
      </c>
      <c r="O473" s="7">
        <f>0+[1]táj.2!O473</f>
        <v>0</v>
      </c>
      <c r="P473" s="7">
        <f>0+[1]táj.2!P473</f>
        <v>0</v>
      </c>
      <c r="Q473" s="7">
        <f t="shared" si="27"/>
        <v>9998</v>
      </c>
    </row>
    <row r="474" spans="1:17" ht="20.25" customHeight="1" x14ac:dyDescent="0.2">
      <c r="A474" s="182"/>
      <c r="B474" s="182"/>
      <c r="C474" s="183"/>
      <c r="D474" s="147" t="s">
        <v>1105</v>
      </c>
      <c r="E474" s="52"/>
      <c r="F474" s="52"/>
      <c r="G474" s="52">
        <f>SUM(G347:G473)</f>
        <v>7800</v>
      </c>
      <c r="H474" s="52">
        <f t="shared" ref="H474:Q474" si="28">SUM(H347:H473)</f>
        <v>1350</v>
      </c>
      <c r="I474" s="52">
        <f t="shared" si="28"/>
        <v>1800922</v>
      </c>
      <c r="J474" s="52">
        <f t="shared" si="28"/>
        <v>0</v>
      </c>
      <c r="K474" s="52">
        <f t="shared" si="28"/>
        <v>434698</v>
      </c>
      <c r="L474" s="52">
        <f t="shared" si="28"/>
        <v>164206</v>
      </c>
      <c r="M474" s="52">
        <f t="shared" si="28"/>
        <v>42604</v>
      </c>
      <c r="N474" s="52">
        <f t="shared" si="28"/>
        <v>1000</v>
      </c>
      <c r="O474" s="52">
        <f t="shared" si="28"/>
        <v>0</v>
      </c>
      <c r="P474" s="52">
        <f t="shared" si="28"/>
        <v>0</v>
      </c>
      <c r="Q474" s="52">
        <f t="shared" si="28"/>
        <v>2452580</v>
      </c>
    </row>
    <row r="475" spans="1:17" ht="15" customHeight="1" x14ac:dyDescent="0.2">
      <c r="A475" s="162">
        <v>1</v>
      </c>
      <c r="B475" s="162">
        <v>16</v>
      </c>
      <c r="C475" s="178"/>
      <c r="D475" s="241" t="s">
        <v>1106</v>
      </c>
      <c r="E475" s="187"/>
      <c r="F475" s="7"/>
      <c r="G475" s="7"/>
      <c r="H475" s="3"/>
      <c r="I475" s="3"/>
      <c r="J475" s="3"/>
      <c r="K475" s="3"/>
      <c r="L475" s="3"/>
      <c r="M475" s="7"/>
      <c r="N475" s="7"/>
      <c r="O475" s="7"/>
      <c r="P475" s="7"/>
      <c r="Q475" s="7"/>
    </row>
    <row r="476" spans="1:17" ht="15" customHeight="1" x14ac:dyDescent="0.2">
      <c r="A476" s="162"/>
      <c r="B476" s="162"/>
      <c r="C476" s="178"/>
      <c r="D476" s="143" t="s">
        <v>424</v>
      </c>
      <c r="E476" s="187"/>
      <c r="F476" s="7"/>
      <c r="G476" s="7"/>
      <c r="H476" s="3"/>
      <c r="I476" s="3"/>
      <c r="J476" s="3"/>
      <c r="K476" s="3"/>
      <c r="L476" s="3"/>
      <c r="M476" s="7"/>
      <c r="N476" s="7"/>
      <c r="O476" s="7"/>
      <c r="P476" s="7"/>
      <c r="Q476" s="7"/>
    </row>
    <row r="477" spans="1:17" ht="15" customHeight="1" x14ac:dyDescent="0.2">
      <c r="A477" s="162"/>
      <c r="B477" s="162"/>
      <c r="C477" s="178"/>
      <c r="D477" s="247" t="s">
        <v>1107</v>
      </c>
      <c r="E477" s="7">
        <v>2</v>
      </c>
      <c r="F477" s="7">
        <v>161910</v>
      </c>
      <c r="G477" s="7">
        <f>0+[1]táj.2!G477</f>
        <v>0</v>
      </c>
      <c r="H477" s="7">
        <f>0+[1]táj.2!H477</f>
        <v>0</v>
      </c>
      <c r="I477" s="7">
        <f>2250+[1]táj.2!I477</f>
        <v>2250</v>
      </c>
      <c r="J477" s="7">
        <f>0+[1]táj.2!J477</f>
        <v>0</v>
      </c>
      <c r="K477" s="7">
        <f>0+[1]táj.2!K477</f>
        <v>0</v>
      </c>
      <c r="L477" s="7">
        <f>0+[1]táj.2!L477</f>
        <v>0</v>
      </c>
      <c r="M477" s="7">
        <f>0+[1]táj.2!M477</f>
        <v>0</v>
      </c>
      <c r="N477" s="7">
        <f>0+[1]táj.2!N477</f>
        <v>0</v>
      </c>
      <c r="O477" s="7">
        <f>0+[1]táj.2!O477</f>
        <v>0</v>
      </c>
      <c r="P477" s="7">
        <f>0+[1]táj.2!P477</f>
        <v>0</v>
      </c>
      <c r="Q477" s="7">
        <f t="shared" ref="Q477:Q483" si="29">SUM(G477:P477)</f>
        <v>2250</v>
      </c>
    </row>
    <row r="478" spans="1:17" ht="15" customHeight="1" x14ac:dyDescent="0.2">
      <c r="A478" s="162"/>
      <c r="B478" s="162"/>
      <c r="C478" s="178"/>
      <c r="D478" s="247" t="s">
        <v>1108</v>
      </c>
      <c r="E478" s="7">
        <v>1</v>
      </c>
      <c r="F478" s="7">
        <v>161908</v>
      </c>
      <c r="G478" s="7">
        <f>0+[1]táj.2!G478</f>
        <v>0</v>
      </c>
      <c r="H478" s="7">
        <f>0+[1]táj.2!H478</f>
        <v>0</v>
      </c>
      <c r="I478" s="7">
        <f>6873+[1]táj.2!I478</f>
        <v>5983</v>
      </c>
      <c r="J478" s="7">
        <f>0+[1]táj.2!J478</f>
        <v>0</v>
      </c>
      <c r="K478" s="7">
        <f>0+[1]táj.2!K478</f>
        <v>0</v>
      </c>
      <c r="L478" s="7">
        <f>0+[1]táj.2!L478</f>
        <v>0</v>
      </c>
      <c r="M478" s="7">
        <f>0+[1]táj.2!M478</f>
        <v>0</v>
      </c>
      <c r="N478" s="7">
        <f>0+[1]táj.2!N478</f>
        <v>0</v>
      </c>
      <c r="O478" s="7">
        <f>0+[1]táj.2!O478</f>
        <v>0</v>
      </c>
      <c r="P478" s="7">
        <f>0+[1]táj.2!P478</f>
        <v>0</v>
      </c>
      <c r="Q478" s="7">
        <f t="shared" si="29"/>
        <v>5983</v>
      </c>
    </row>
    <row r="479" spans="1:17" ht="29.25" customHeight="1" x14ac:dyDescent="0.2">
      <c r="A479" s="162"/>
      <c r="B479" s="162"/>
      <c r="C479" s="178"/>
      <c r="D479" s="141" t="s">
        <v>1109</v>
      </c>
      <c r="E479" s="7">
        <v>2</v>
      </c>
      <c r="F479" s="7">
        <v>161911</v>
      </c>
      <c r="G479" s="7">
        <f>0+[1]táj.2!G479</f>
        <v>0</v>
      </c>
      <c r="H479" s="7">
        <f>0+[1]táj.2!H479</f>
        <v>0</v>
      </c>
      <c r="I479" s="7">
        <f>6217+[1]táj.2!I479</f>
        <v>6217</v>
      </c>
      <c r="J479" s="7">
        <f>0+[1]táj.2!J479</f>
        <v>0</v>
      </c>
      <c r="K479" s="7">
        <f>0+[1]táj.2!K479</f>
        <v>0</v>
      </c>
      <c r="L479" s="7">
        <f>0+[1]táj.2!L479</f>
        <v>0</v>
      </c>
      <c r="M479" s="7">
        <f>300+[1]táj.2!M479</f>
        <v>300</v>
      </c>
      <c r="N479" s="7">
        <f>0+[1]táj.2!N479</f>
        <v>0</v>
      </c>
      <c r="O479" s="7">
        <f>0+[1]táj.2!O479</f>
        <v>0</v>
      </c>
      <c r="P479" s="7">
        <f>0+[1]táj.2!P479</f>
        <v>0</v>
      </c>
      <c r="Q479" s="7">
        <f t="shared" si="29"/>
        <v>6517</v>
      </c>
    </row>
    <row r="480" spans="1:17" ht="24" customHeight="1" x14ac:dyDescent="0.2">
      <c r="A480" s="162"/>
      <c r="B480" s="162"/>
      <c r="C480" s="178"/>
      <c r="D480" s="139" t="s">
        <v>1110</v>
      </c>
      <c r="E480" s="7">
        <v>2</v>
      </c>
      <c r="F480" s="7">
        <v>161904</v>
      </c>
      <c r="G480" s="7">
        <f>0+[1]táj.2!G480</f>
        <v>0</v>
      </c>
      <c r="H480" s="7">
        <f>0+[1]táj.2!H480</f>
        <v>0</v>
      </c>
      <c r="I480" s="7">
        <f>4572+[1]táj.2!I480</f>
        <v>4572</v>
      </c>
      <c r="J480" s="7">
        <f>0+[1]táj.2!J480</f>
        <v>0</v>
      </c>
      <c r="K480" s="7">
        <f>0+[1]táj.2!K480</f>
        <v>0</v>
      </c>
      <c r="L480" s="7">
        <f>0+[1]táj.2!L480</f>
        <v>0</v>
      </c>
      <c r="M480" s="7">
        <f>0+[1]táj.2!M480</f>
        <v>0</v>
      </c>
      <c r="N480" s="7">
        <f>0+[1]táj.2!N480</f>
        <v>0</v>
      </c>
      <c r="O480" s="7">
        <f>0+[1]táj.2!O480</f>
        <v>0</v>
      </c>
      <c r="P480" s="7">
        <f>0+[1]táj.2!P480</f>
        <v>0</v>
      </c>
      <c r="Q480" s="7">
        <f t="shared" si="29"/>
        <v>4572</v>
      </c>
    </row>
    <row r="481" spans="1:17" ht="24" customHeight="1" x14ac:dyDescent="0.2">
      <c r="A481" s="162"/>
      <c r="B481" s="162"/>
      <c r="C481" s="178"/>
      <c r="D481" s="141" t="s">
        <v>1111</v>
      </c>
      <c r="E481" s="175">
        <v>2</v>
      </c>
      <c r="F481" s="7">
        <v>161903</v>
      </c>
      <c r="G481" s="7">
        <f>0+[1]táj.2!G481</f>
        <v>0</v>
      </c>
      <c r="H481" s="7">
        <f>0+[1]táj.2!H481</f>
        <v>0</v>
      </c>
      <c r="I481" s="7">
        <f>765+[1]táj.2!I481</f>
        <v>765</v>
      </c>
      <c r="J481" s="7">
        <f>0+[1]táj.2!J481</f>
        <v>0</v>
      </c>
      <c r="K481" s="7">
        <f>0+[1]táj.2!K481</f>
        <v>0</v>
      </c>
      <c r="L481" s="7">
        <f>0+[1]táj.2!L481</f>
        <v>0</v>
      </c>
      <c r="M481" s="7">
        <f>0+[1]táj.2!M481</f>
        <v>0</v>
      </c>
      <c r="N481" s="7">
        <f>0+[1]táj.2!N481</f>
        <v>0</v>
      </c>
      <c r="O481" s="7">
        <f>0+[1]táj.2!O481</f>
        <v>0</v>
      </c>
      <c r="P481" s="7">
        <f>0+[1]táj.2!P481</f>
        <v>0</v>
      </c>
      <c r="Q481" s="7">
        <f t="shared" si="29"/>
        <v>765</v>
      </c>
    </row>
    <row r="482" spans="1:17" ht="24" customHeight="1" x14ac:dyDescent="0.2">
      <c r="A482" s="162"/>
      <c r="B482" s="162"/>
      <c r="C482" s="178"/>
      <c r="D482" s="141" t="s">
        <v>1112</v>
      </c>
      <c r="E482" s="7">
        <v>1</v>
      </c>
      <c r="F482" s="7">
        <v>161912</v>
      </c>
      <c r="G482" s="7">
        <f>0+[1]táj.2!G482</f>
        <v>0</v>
      </c>
      <c r="H482" s="7">
        <f>0+[1]táj.2!H482</f>
        <v>0</v>
      </c>
      <c r="I482" s="7">
        <f>3000+[1]táj.2!I482</f>
        <v>0</v>
      </c>
      <c r="J482" s="7">
        <f>0+[1]táj.2!J482</f>
        <v>0</v>
      </c>
      <c r="K482" s="7">
        <f>0+[1]táj.2!K482</f>
        <v>0</v>
      </c>
      <c r="L482" s="7">
        <f>0+[1]táj.2!L482</f>
        <v>0</v>
      </c>
      <c r="M482" s="7">
        <f>0+[1]táj.2!M482</f>
        <v>0</v>
      </c>
      <c r="N482" s="7">
        <f>0+[1]táj.2!N482</f>
        <v>0</v>
      </c>
      <c r="O482" s="7">
        <f>0+[1]táj.2!O482</f>
        <v>0</v>
      </c>
      <c r="P482" s="7">
        <f>0+[1]táj.2!P482</f>
        <v>0</v>
      </c>
      <c r="Q482" s="7">
        <f t="shared" si="29"/>
        <v>0</v>
      </c>
    </row>
    <row r="483" spans="1:17" ht="19.5" customHeight="1" x14ac:dyDescent="0.2">
      <c r="A483" s="162"/>
      <c r="B483" s="162"/>
      <c r="C483" s="178"/>
      <c r="D483" s="265" t="s">
        <v>822</v>
      </c>
      <c r="E483" s="266">
        <v>1</v>
      </c>
      <c r="F483" s="25">
        <v>151919</v>
      </c>
      <c r="G483" s="7">
        <f>0+[1]táj.2!G483</f>
        <v>0</v>
      </c>
      <c r="H483" s="7">
        <f>0+[1]táj.2!H483</f>
        <v>0</v>
      </c>
      <c r="I483" s="7">
        <f>1410+[1]táj.2!I483</f>
        <v>1410</v>
      </c>
      <c r="J483" s="7">
        <f>0+[1]táj.2!J483</f>
        <v>0</v>
      </c>
      <c r="K483" s="7">
        <f>0+[1]táj.2!K483</f>
        <v>0</v>
      </c>
      <c r="L483" s="7">
        <f>0+[1]táj.2!L483</f>
        <v>0</v>
      </c>
      <c r="M483" s="7">
        <f>0+[1]táj.2!M483</f>
        <v>0</v>
      </c>
      <c r="N483" s="7">
        <f>0+[1]táj.2!N483</f>
        <v>0</v>
      </c>
      <c r="O483" s="7">
        <f>0+[1]táj.2!O483</f>
        <v>0</v>
      </c>
      <c r="P483" s="7">
        <f>0+[1]táj.2!P483</f>
        <v>0</v>
      </c>
      <c r="Q483" s="7">
        <f t="shared" si="29"/>
        <v>1410</v>
      </c>
    </row>
    <row r="484" spans="1:17" ht="14.1" customHeight="1" x14ac:dyDescent="0.2">
      <c r="A484" s="162"/>
      <c r="B484" s="162"/>
      <c r="C484" s="178"/>
      <c r="D484" s="258" t="s">
        <v>438</v>
      </c>
      <c r="E484" s="301"/>
      <c r="F484" s="7"/>
      <c r="G484" s="7"/>
      <c r="H484" s="3"/>
      <c r="I484" s="3"/>
      <c r="J484" s="3"/>
      <c r="K484" s="3"/>
      <c r="L484" s="3"/>
      <c r="M484" s="7"/>
      <c r="N484" s="7"/>
      <c r="O484" s="7"/>
      <c r="P484" s="7"/>
      <c r="Q484" s="7"/>
    </row>
    <row r="485" spans="1:17" ht="14.1" customHeight="1" x14ac:dyDescent="0.2">
      <c r="A485" s="162"/>
      <c r="B485" s="162"/>
      <c r="C485" s="178"/>
      <c r="D485" s="302" t="s">
        <v>1113</v>
      </c>
      <c r="E485" s="7">
        <v>2</v>
      </c>
      <c r="F485" s="7">
        <v>151606</v>
      </c>
      <c r="G485" s="7">
        <f>0+[1]táj.2!G485</f>
        <v>0</v>
      </c>
      <c r="H485" s="7">
        <f>0+[1]táj.2!H485</f>
        <v>0</v>
      </c>
      <c r="I485" s="7">
        <f>0+[1]táj.2!I485</f>
        <v>0</v>
      </c>
      <c r="J485" s="7">
        <f>0+[1]táj.2!J485</f>
        <v>0</v>
      </c>
      <c r="K485" s="7">
        <f>1955+[1]táj.2!K485</f>
        <v>980</v>
      </c>
      <c r="L485" s="7">
        <f>0+[1]táj.2!L485</f>
        <v>0</v>
      </c>
      <c r="M485" s="7">
        <f>0+[1]táj.2!M485</f>
        <v>0</v>
      </c>
      <c r="N485" s="7">
        <f>0+[1]táj.2!N485</f>
        <v>0</v>
      </c>
      <c r="O485" s="7">
        <f>0+[1]táj.2!O485</f>
        <v>0</v>
      </c>
      <c r="P485" s="7">
        <f>0+[1]táj.2!P485</f>
        <v>0</v>
      </c>
      <c r="Q485" s="7">
        <f>SUM(G485:P485)</f>
        <v>980</v>
      </c>
    </row>
    <row r="486" spans="1:17" ht="16.5" customHeight="1" x14ac:dyDescent="0.2">
      <c r="A486" s="162"/>
      <c r="B486" s="162"/>
      <c r="C486" s="178"/>
      <c r="D486" s="258" t="s">
        <v>850</v>
      </c>
      <c r="E486" s="303"/>
      <c r="F486" s="7"/>
      <c r="G486" s="7"/>
      <c r="H486" s="3"/>
      <c r="I486" s="3"/>
      <c r="J486" s="3"/>
      <c r="K486" s="3"/>
      <c r="L486" s="3"/>
      <c r="M486" s="7"/>
      <c r="N486" s="7"/>
      <c r="O486" s="7"/>
      <c r="P486" s="7"/>
      <c r="Q486" s="7"/>
    </row>
    <row r="487" spans="1:17" ht="25.5" customHeight="1" x14ac:dyDescent="0.2">
      <c r="A487" s="162"/>
      <c r="B487" s="162"/>
      <c r="C487" s="178"/>
      <c r="D487" s="139" t="s">
        <v>1505</v>
      </c>
      <c r="E487" s="7">
        <v>2</v>
      </c>
      <c r="F487" s="7">
        <v>151203</v>
      </c>
      <c r="G487" s="7">
        <f>0+[1]táj.2!G487</f>
        <v>0</v>
      </c>
      <c r="H487" s="7">
        <f>0+[1]táj.2!H487</f>
        <v>0</v>
      </c>
      <c r="I487" s="7">
        <f>8785+[1]táj.2!I487</f>
        <v>10785</v>
      </c>
      <c r="J487" s="7">
        <f>0+[1]táj.2!J487</f>
        <v>0</v>
      </c>
      <c r="K487" s="7">
        <f>0+[1]táj.2!K487</f>
        <v>0</v>
      </c>
      <c r="L487" s="7">
        <f>0+[1]táj.2!L487</f>
        <v>0</v>
      </c>
      <c r="M487" s="7">
        <f>0+[1]táj.2!M487</f>
        <v>0</v>
      </c>
      <c r="N487" s="7">
        <f>0+[1]táj.2!N487</f>
        <v>0</v>
      </c>
      <c r="O487" s="7">
        <f>0+[1]táj.2!O487</f>
        <v>0</v>
      </c>
      <c r="P487" s="7">
        <f>0+[1]táj.2!P487</f>
        <v>0</v>
      </c>
      <c r="Q487" s="7">
        <f>SUM(G487:P487)</f>
        <v>10785</v>
      </c>
    </row>
    <row r="488" spans="1:17" ht="14.1" customHeight="1" x14ac:dyDescent="0.2">
      <c r="A488" s="304"/>
      <c r="B488" s="304"/>
      <c r="C488" s="305"/>
      <c r="D488" s="271" t="s">
        <v>1114</v>
      </c>
      <c r="E488" s="248"/>
      <c r="F488" s="250"/>
      <c r="G488" s="250">
        <f>SUM(G477:G487)</f>
        <v>0</v>
      </c>
      <c r="H488" s="250">
        <f t="shared" ref="H488:Q488" si="30">SUM(H477:H487)</f>
        <v>0</v>
      </c>
      <c r="I488" s="250">
        <f t="shared" si="30"/>
        <v>31982</v>
      </c>
      <c r="J488" s="250">
        <f t="shared" si="30"/>
        <v>0</v>
      </c>
      <c r="K488" s="250">
        <f t="shared" si="30"/>
        <v>980</v>
      </c>
      <c r="L488" s="250">
        <f t="shared" si="30"/>
        <v>0</v>
      </c>
      <c r="M488" s="250">
        <f t="shared" si="30"/>
        <v>300</v>
      </c>
      <c r="N488" s="250">
        <f t="shared" si="30"/>
        <v>0</v>
      </c>
      <c r="O488" s="250">
        <f t="shared" si="30"/>
        <v>0</v>
      </c>
      <c r="P488" s="250">
        <f t="shared" si="30"/>
        <v>0</v>
      </c>
      <c r="Q488" s="250">
        <f t="shared" si="30"/>
        <v>33262</v>
      </c>
    </row>
    <row r="489" spans="1:17" ht="14.1" customHeight="1" x14ac:dyDescent="0.2">
      <c r="A489" s="162"/>
      <c r="B489" s="162"/>
      <c r="C489" s="178"/>
      <c r="D489" s="251" t="s">
        <v>1115</v>
      </c>
      <c r="E489" s="187"/>
      <c r="F489" s="7"/>
      <c r="G489" s="3"/>
      <c r="H489" s="3"/>
      <c r="I489" s="3"/>
      <c r="J489" s="7"/>
      <c r="K489" s="7"/>
      <c r="L489" s="7"/>
      <c r="M489" s="7"/>
      <c r="N489" s="7"/>
      <c r="O489" s="7"/>
      <c r="P489" s="7"/>
      <c r="Q489" s="7"/>
    </row>
    <row r="490" spans="1:17" ht="17.25" customHeight="1" x14ac:dyDescent="0.2">
      <c r="A490" s="162"/>
      <c r="B490" s="162"/>
      <c r="C490" s="306" t="s">
        <v>211</v>
      </c>
      <c r="D490" s="307" t="s">
        <v>863</v>
      </c>
      <c r="E490" s="187"/>
      <c r="F490" s="7"/>
      <c r="G490" s="3"/>
      <c r="H490" s="3"/>
      <c r="I490" s="3"/>
      <c r="J490" s="7"/>
      <c r="K490" s="7"/>
      <c r="L490" s="7"/>
      <c r="M490" s="7"/>
      <c r="N490" s="7"/>
      <c r="O490" s="7"/>
      <c r="P490" s="7"/>
      <c r="Q490" s="7"/>
    </row>
    <row r="491" spans="1:17" ht="17.25" customHeight="1" x14ac:dyDescent="0.2">
      <c r="A491" s="162"/>
      <c r="B491" s="162"/>
      <c r="C491" s="281" t="s">
        <v>582</v>
      </c>
      <c r="D491" s="308" t="s">
        <v>1116</v>
      </c>
      <c r="E491" s="187"/>
      <c r="F491" s="187">
        <v>164106</v>
      </c>
      <c r="G491" s="3">
        <f>0+[1]táj.2!G491</f>
        <v>0</v>
      </c>
      <c r="H491" s="3">
        <f>0+[1]táj.2!H491</f>
        <v>0</v>
      </c>
      <c r="I491" s="3">
        <f>105275+[1]táj.2!I491</f>
        <v>105275</v>
      </c>
      <c r="J491" s="3">
        <f>0+[1]táj.2!J491</f>
        <v>0</v>
      </c>
      <c r="K491" s="3">
        <f>0+[1]táj.2!K491</f>
        <v>0</v>
      </c>
      <c r="L491" s="3">
        <f>0+[1]táj.2!L491</f>
        <v>0</v>
      </c>
      <c r="M491" s="3">
        <f>505572+[1]táj.2!M491</f>
        <v>505572</v>
      </c>
      <c r="N491" s="3">
        <f>0+[1]táj.2!N491</f>
        <v>0</v>
      </c>
      <c r="O491" s="3">
        <f>0+[1]táj.2!O491</f>
        <v>0</v>
      </c>
      <c r="P491" s="3">
        <f>0+[1]táj.2!P491</f>
        <v>0</v>
      </c>
      <c r="Q491" s="7">
        <f>SUM(G491:P491)</f>
        <v>610847</v>
      </c>
    </row>
    <row r="492" spans="1:17" ht="17.25" customHeight="1" x14ac:dyDescent="0.2">
      <c r="A492" s="162"/>
      <c r="B492" s="162"/>
      <c r="C492" s="281" t="s">
        <v>865</v>
      </c>
      <c r="D492" s="308" t="s">
        <v>81</v>
      </c>
      <c r="E492" s="187"/>
      <c r="F492" s="187">
        <v>161909</v>
      </c>
      <c r="G492" s="3">
        <f>0+[1]táj.2!G492</f>
        <v>0</v>
      </c>
      <c r="H492" s="3">
        <f>0+[1]táj.2!H492</f>
        <v>0</v>
      </c>
      <c r="I492" s="3">
        <f>0+[1]táj.2!I492</f>
        <v>0</v>
      </c>
      <c r="J492" s="3">
        <f>0+[1]táj.2!J492</f>
        <v>0</v>
      </c>
      <c r="K492" s="3">
        <f>0+[1]táj.2!K492</f>
        <v>0</v>
      </c>
      <c r="L492" s="3">
        <f>14766+[1]táj.2!L492</f>
        <v>14766</v>
      </c>
      <c r="M492" s="3">
        <f>12700+[1]táj.2!M492</f>
        <v>12700</v>
      </c>
      <c r="N492" s="3">
        <f>0+[1]táj.2!N492</f>
        <v>0</v>
      </c>
      <c r="O492" s="3">
        <f>0+[1]táj.2!O492</f>
        <v>0</v>
      </c>
      <c r="P492" s="3">
        <f>0+[1]táj.2!P492</f>
        <v>0</v>
      </c>
      <c r="Q492" s="7">
        <f>SUM(G492:P492)</f>
        <v>27466</v>
      </c>
    </row>
    <row r="493" spans="1:17" ht="14.1" customHeight="1" x14ac:dyDescent="0.2">
      <c r="A493" s="162"/>
      <c r="B493" s="162"/>
      <c r="C493" s="178"/>
      <c r="D493" s="247" t="s">
        <v>584</v>
      </c>
      <c r="E493" s="187"/>
      <c r="F493" s="18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7"/>
    </row>
    <row r="494" spans="1:17" ht="14.1" customHeight="1" x14ac:dyDescent="0.2">
      <c r="A494" s="162"/>
      <c r="B494" s="162"/>
      <c r="C494" s="178" t="s">
        <v>585</v>
      </c>
      <c r="D494" s="309" t="s">
        <v>1117</v>
      </c>
      <c r="E494" s="289"/>
      <c r="F494" s="187">
        <v>162126</v>
      </c>
      <c r="G494" s="3">
        <f>0+[1]táj.2!G494</f>
        <v>0</v>
      </c>
      <c r="H494" s="3">
        <f>0+[1]táj.2!H494</f>
        <v>0</v>
      </c>
      <c r="I494" s="3">
        <f>0+[1]táj.2!I494</f>
        <v>0</v>
      </c>
      <c r="J494" s="3">
        <f>0+[1]táj.2!J494</f>
        <v>0</v>
      </c>
      <c r="K494" s="3">
        <f>0+[1]táj.2!K494</f>
        <v>0</v>
      </c>
      <c r="L494" s="3">
        <f>800+[1]táj.2!L494</f>
        <v>0</v>
      </c>
      <c r="M494" s="3">
        <f>0+[1]táj.2!M494</f>
        <v>0</v>
      </c>
      <c r="N494" s="3">
        <f>0+[1]táj.2!N494</f>
        <v>0</v>
      </c>
      <c r="O494" s="3">
        <f>0+[1]táj.2!O494</f>
        <v>0</v>
      </c>
      <c r="P494" s="3">
        <f>0+[1]táj.2!P494</f>
        <v>0</v>
      </c>
      <c r="Q494" s="7">
        <f>SUM(G494:P494)</f>
        <v>0</v>
      </c>
    </row>
    <row r="495" spans="1:17" ht="23.25" customHeight="1" x14ac:dyDescent="0.2">
      <c r="A495" s="162"/>
      <c r="B495" s="162"/>
      <c r="C495" s="178" t="s">
        <v>587</v>
      </c>
      <c r="D495" s="310" t="s">
        <v>1118</v>
      </c>
      <c r="E495" s="289"/>
      <c r="F495" s="187">
        <v>162112</v>
      </c>
      <c r="G495" s="3">
        <f>0+[1]táj.2!G495</f>
        <v>0</v>
      </c>
      <c r="H495" s="3">
        <f>0+[1]táj.2!H495</f>
        <v>0</v>
      </c>
      <c r="I495" s="3">
        <f>0+[1]táj.2!I495</f>
        <v>0</v>
      </c>
      <c r="J495" s="3">
        <f>0+[1]táj.2!J495</f>
        <v>0</v>
      </c>
      <c r="K495" s="3">
        <f>0+[1]táj.2!K495</f>
        <v>0</v>
      </c>
      <c r="L495" s="3">
        <f>6002+[1]táj.2!L495</f>
        <v>0</v>
      </c>
      <c r="M495" s="3">
        <f>0+[1]táj.2!M495</f>
        <v>0</v>
      </c>
      <c r="N495" s="3">
        <f>0+[1]táj.2!N495</f>
        <v>0</v>
      </c>
      <c r="O495" s="3">
        <f>0+[1]táj.2!O495</f>
        <v>0</v>
      </c>
      <c r="P495" s="3">
        <f>0+[1]táj.2!P495</f>
        <v>0</v>
      </c>
      <c r="Q495" s="7">
        <f>SUM(G495:P495)</f>
        <v>0</v>
      </c>
    </row>
    <row r="496" spans="1:17" ht="18" customHeight="1" x14ac:dyDescent="0.2">
      <c r="A496" s="162"/>
      <c r="B496" s="162"/>
      <c r="C496" s="178" t="s">
        <v>880</v>
      </c>
      <c r="D496" s="310" t="s">
        <v>1119</v>
      </c>
      <c r="E496" s="289"/>
      <c r="F496" s="187">
        <v>162107</v>
      </c>
      <c r="G496" s="3">
        <f>0+[1]táj.2!G496</f>
        <v>0</v>
      </c>
      <c r="H496" s="3">
        <f>0+[1]táj.2!H496</f>
        <v>0</v>
      </c>
      <c r="I496" s="3">
        <f>0+[1]táj.2!I496</f>
        <v>0</v>
      </c>
      <c r="J496" s="3">
        <f>0+[1]táj.2!J496</f>
        <v>0</v>
      </c>
      <c r="K496" s="3">
        <f>0+[1]táj.2!K496</f>
        <v>0</v>
      </c>
      <c r="L496" s="3">
        <f>3179+[1]táj.2!L496</f>
        <v>3179</v>
      </c>
      <c r="M496" s="3">
        <f>0+[1]táj.2!M496</f>
        <v>0</v>
      </c>
      <c r="N496" s="3">
        <f>0+[1]táj.2!N496</f>
        <v>0</v>
      </c>
      <c r="O496" s="3">
        <f>0+[1]táj.2!O496</f>
        <v>0</v>
      </c>
      <c r="P496" s="3">
        <f>0+[1]táj.2!P496</f>
        <v>0</v>
      </c>
      <c r="Q496" s="7">
        <f>SUM(G496:P496)</f>
        <v>3179</v>
      </c>
    </row>
    <row r="497" spans="1:17" ht="25.5" customHeight="1" x14ac:dyDescent="0.2">
      <c r="A497" s="162"/>
      <c r="B497" s="162"/>
      <c r="C497" s="178" t="s">
        <v>882</v>
      </c>
      <c r="D497" s="139" t="s">
        <v>1120</v>
      </c>
      <c r="E497" s="187"/>
      <c r="F497" s="187">
        <v>162166</v>
      </c>
      <c r="G497" s="3">
        <f>0+[1]táj.2!G497</f>
        <v>0</v>
      </c>
      <c r="H497" s="3">
        <f>0+[1]táj.2!H497</f>
        <v>0</v>
      </c>
      <c r="I497" s="3">
        <f>0+[1]táj.2!I497</f>
        <v>0</v>
      </c>
      <c r="J497" s="3">
        <f>0+[1]táj.2!J497</f>
        <v>0</v>
      </c>
      <c r="K497" s="3">
        <f>0+[1]táj.2!K497</f>
        <v>0</v>
      </c>
      <c r="L497" s="3">
        <f>0+[1]táj.2!L497</f>
        <v>0</v>
      </c>
      <c r="M497" s="3">
        <f>75+[1]táj.2!M497</f>
        <v>75</v>
      </c>
      <c r="N497" s="3">
        <f>0+[1]táj.2!N497</f>
        <v>0</v>
      </c>
      <c r="O497" s="3">
        <f>0+[1]táj.2!O497</f>
        <v>0</v>
      </c>
      <c r="P497" s="3">
        <f>0+[1]táj.2!P497</f>
        <v>0</v>
      </c>
      <c r="Q497" s="7">
        <f>SUM(G497:P497)</f>
        <v>75</v>
      </c>
    </row>
    <row r="498" spans="1:17" ht="15.75" customHeight="1" x14ac:dyDescent="0.2">
      <c r="A498" s="162"/>
      <c r="B498" s="162"/>
      <c r="C498" s="178" t="s">
        <v>884</v>
      </c>
      <c r="D498" s="308" t="s">
        <v>1121</v>
      </c>
      <c r="E498" s="187"/>
      <c r="F498" s="187">
        <v>162168</v>
      </c>
      <c r="G498" s="3">
        <f>0+[1]táj.2!G498</f>
        <v>0</v>
      </c>
      <c r="H498" s="3">
        <f>0+[1]táj.2!H498</f>
        <v>0</v>
      </c>
      <c r="I498" s="3">
        <f>0+[1]táj.2!I498</f>
        <v>0</v>
      </c>
      <c r="J498" s="3">
        <f>0+[1]táj.2!J498</f>
        <v>0</v>
      </c>
      <c r="K498" s="3">
        <f>0+[1]táj.2!K498</f>
        <v>0</v>
      </c>
      <c r="L498" s="3">
        <f>1489+[1]táj.2!L498</f>
        <v>1489</v>
      </c>
      <c r="M498" s="3">
        <f>0+[1]táj.2!M498</f>
        <v>0</v>
      </c>
      <c r="N498" s="3">
        <f>0+[1]táj.2!N498</f>
        <v>0</v>
      </c>
      <c r="O498" s="3">
        <f>0+[1]táj.2!O498</f>
        <v>0</v>
      </c>
      <c r="P498" s="3">
        <f>0+[1]táj.2!P498</f>
        <v>0</v>
      </c>
      <c r="Q498" s="7">
        <f>SUM(G498:P498)</f>
        <v>1489</v>
      </c>
    </row>
    <row r="499" spans="1:17" ht="17.25" customHeight="1" x14ac:dyDescent="0.2">
      <c r="A499" s="162"/>
      <c r="B499" s="162"/>
      <c r="C499" s="611" t="s">
        <v>210</v>
      </c>
      <c r="D499" s="281" t="s">
        <v>886</v>
      </c>
      <c r="E499" s="187"/>
      <c r="F499" s="18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7"/>
    </row>
    <row r="500" spans="1:17" ht="16.5" customHeight="1" x14ac:dyDescent="0.2">
      <c r="A500" s="162"/>
      <c r="B500" s="162"/>
      <c r="C500" s="611" t="s">
        <v>1122</v>
      </c>
      <c r="D500" s="311" t="s">
        <v>1123</v>
      </c>
      <c r="E500" s="187"/>
      <c r="F500" s="187">
        <v>164204</v>
      </c>
      <c r="G500" s="3">
        <f>0+[1]táj.2!G500</f>
        <v>0</v>
      </c>
      <c r="H500" s="3">
        <f>0+[1]táj.2!H500</f>
        <v>0</v>
      </c>
      <c r="I500" s="3">
        <f>46213+[1]táj.2!I500</f>
        <v>46213</v>
      </c>
      <c r="J500" s="3">
        <f>0+[1]táj.2!J500</f>
        <v>0</v>
      </c>
      <c r="K500" s="3">
        <f>0+[1]táj.2!K500</f>
        <v>0</v>
      </c>
      <c r="L500" s="3">
        <f>2400+[1]táj.2!L500</f>
        <v>2400</v>
      </c>
      <c r="M500" s="3">
        <f>254692+[1]táj.2!M500</f>
        <v>254692</v>
      </c>
      <c r="N500" s="3">
        <f>0+[1]táj.2!N500</f>
        <v>0</v>
      </c>
      <c r="O500" s="3">
        <f>0+[1]táj.2!O500</f>
        <v>0</v>
      </c>
      <c r="P500" s="3">
        <f>0+[1]táj.2!P500</f>
        <v>0</v>
      </c>
      <c r="Q500" s="7">
        <f>SUM(G500:P500)</f>
        <v>303305</v>
      </c>
    </row>
    <row r="501" spans="1:17" ht="16.5" customHeight="1" x14ac:dyDescent="0.2">
      <c r="A501" s="162"/>
      <c r="B501" s="162"/>
      <c r="C501" s="178"/>
      <c r="D501" s="247" t="s">
        <v>584</v>
      </c>
      <c r="E501" s="187"/>
      <c r="F501" s="18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7"/>
    </row>
    <row r="502" spans="1:17" ht="34.5" customHeight="1" x14ac:dyDescent="0.2">
      <c r="A502" s="162"/>
      <c r="B502" s="162"/>
      <c r="C502" s="178" t="s">
        <v>1124</v>
      </c>
      <c r="D502" s="200" t="s">
        <v>1125</v>
      </c>
      <c r="E502" s="187"/>
      <c r="F502" s="187">
        <v>164205</v>
      </c>
      <c r="G502" s="3">
        <f>0+[1]táj.2!G502</f>
        <v>0</v>
      </c>
      <c r="H502" s="3">
        <f>0+[1]táj.2!H502</f>
        <v>0</v>
      </c>
      <c r="I502" s="3">
        <f>537799+[1]táj.2!I502</f>
        <v>537799</v>
      </c>
      <c r="J502" s="3">
        <f>0+[1]táj.2!J502</f>
        <v>0</v>
      </c>
      <c r="K502" s="3">
        <f>0+[1]táj.2!K502</f>
        <v>0</v>
      </c>
      <c r="L502" s="3">
        <f>1933428+[1]táj.2!L502</f>
        <v>1933428</v>
      </c>
      <c r="M502" s="3">
        <f>0+[1]táj.2!M502</f>
        <v>0</v>
      </c>
      <c r="N502" s="3">
        <f>0+[1]táj.2!N502</f>
        <v>0</v>
      </c>
      <c r="O502" s="3">
        <f>0+[1]táj.2!O502</f>
        <v>0</v>
      </c>
      <c r="P502" s="3">
        <f>0+[1]táj.2!P502</f>
        <v>0</v>
      </c>
      <c r="Q502" s="7">
        <f>SUM(G502:P502)</f>
        <v>2471227</v>
      </c>
    </row>
    <row r="503" spans="1:17" ht="36.75" customHeight="1" x14ac:dyDescent="0.2">
      <c r="A503" s="162"/>
      <c r="B503" s="162"/>
      <c r="C503" s="178" t="s">
        <v>1126</v>
      </c>
      <c r="D503" s="200" t="s">
        <v>1127</v>
      </c>
      <c r="E503" s="187"/>
      <c r="F503" s="187">
        <v>164206</v>
      </c>
      <c r="G503" s="3">
        <f>0+[1]táj.2!G503</f>
        <v>0</v>
      </c>
      <c r="H503" s="3">
        <f>0+[1]táj.2!H503</f>
        <v>0</v>
      </c>
      <c r="I503" s="3">
        <f>42040+[1]táj.2!I503</f>
        <v>42040</v>
      </c>
      <c r="J503" s="3">
        <f>0+[1]táj.2!J503</f>
        <v>0</v>
      </c>
      <c r="K503" s="3">
        <f>0+[1]táj.2!K503</f>
        <v>0</v>
      </c>
      <c r="L503" s="3">
        <f>153940+[1]táj.2!L503</f>
        <v>153940</v>
      </c>
      <c r="M503" s="3">
        <f>0+[1]táj.2!M503</f>
        <v>0</v>
      </c>
      <c r="N503" s="3">
        <f>0+[1]táj.2!N503</f>
        <v>0</v>
      </c>
      <c r="O503" s="3">
        <f>0+[1]táj.2!O503</f>
        <v>0</v>
      </c>
      <c r="P503" s="3">
        <f>0+[1]táj.2!P503</f>
        <v>0</v>
      </c>
      <c r="Q503" s="7">
        <f>SUM(G503:P503)</f>
        <v>195980</v>
      </c>
    </row>
    <row r="504" spans="1:17" ht="17.100000000000001" customHeight="1" x14ac:dyDescent="0.2">
      <c r="A504" s="162"/>
      <c r="B504" s="162"/>
      <c r="C504" s="612" t="s">
        <v>212</v>
      </c>
      <c r="D504" s="281" t="s">
        <v>1128</v>
      </c>
      <c r="E504" s="187"/>
      <c r="F504" s="18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7"/>
    </row>
    <row r="505" spans="1:17" ht="17.100000000000001" customHeight="1" x14ac:dyDescent="0.2">
      <c r="A505" s="162"/>
      <c r="B505" s="312"/>
      <c r="C505" s="613" t="s">
        <v>728</v>
      </c>
      <c r="D505" s="595" t="s">
        <v>1129</v>
      </c>
      <c r="E505" s="187"/>
      <c r="F505" s="187">
        <v>162302</v>
      </c>
      <c r="G505" s="3">
        <f>0+[1]táj.2!G505</f>
        <v>0</v>
      </c>
      <c r="H505" s="3">
        <f>0+[1]táj.2!H505</f>
        <v>0</v>
      </c>
      <c r="I505" s="3">
        <f>0+[1]táj.2!I505</f>
        <v>0</v>
      </c>
      <c r="J505" s="3">
        <f>0+[1]táj.2!J505</f>
        <v>0</v>
      </c>
      <c r="K505" s="3">
        <f>0+[1]táj.2!K505</f>
        <v>0</v>
      </c>
      <c r="L505" s="3">
        <f>1000+[1]táj.2!L505</f>
        <v>0</v>
      </c>
      <c r="M505" s="3">
        <f>0+[1]táj.2!M505</f>
        <v>0</v>
      </c>
      <c r="N505" s="3">
        <f>0+[1]táj.2!N505</f>
        <v>0</v>
      </c>
      <c r="O505" s="3">
        <f>0+[1]táj.2!O505</f>
        <v>0</v>
      </c>
      <c r="P505" s="3">
        <f>0+[1]táj.2!P505</f>
        <v>0</v>
      </c>
      <c r="Q505" s="7">
        <f>SUM(G505:P505)</f>
        <v>0</v>
      </c>
    </row>
    <row r="506" spans="1:17" ht="17.100000000000001" customHeight="1" x14ac:dyDescent="0.2">
      <c r="A506" s="162"/>
      <c r="B506" s="312"/>
      <c r="C506" s="613" t="s">
        <v>729</v>
      </c>
      <c r="D506" s="380" t="s">
        <v>1130</v>
      </c>
      <c r="E506" s="187"/>
      <c r="F506" s="187">
        <v>162307</v>
      </c>
      <c r="G506" s="3">
        <f>0+[1]táj.2!G506</f>
        <v>0</v>
      </c>
      <c r="H506" s="3">
        <f>0+[1]táj.2!H506</f>
        <v>0</v>
      </c>
      <c r="I506" s="3">
        <f>0+[1]táj.2!I506</f>
        <v>0</v>
      </c>
      <c r="J506" s="3">
        <f>0+[1]táj.2!J506</f>
        <v>0</v>
      </c>
      <c r="K506" s="3">
        <f>0+[1]táj.2!K506</f>
        <v>0</v>
      </c>
      <c r="L506" s="3">
        <f>2000+[1]táj.2!L506</f>
        <v>0</v>
      </c>
      <c r="M506" s="3">
        <f>0+[1]táj.2!M506</f>
        <v>0</v>
      </c>
      <c r="N506" s="3">
        <f>0+[1]táj.2!N506</f>
        <v>0</v>
      </c>
      <c r="O506" s="3">
        <f>0+[1]táj.2!O506</f>
        <v>0</v>
      </c>
      <c r="P506" s="3">
        <f>0+[1]táj.2!P506</f>
        <v>0</v>
      </c>
      <c r="Q506" s="7">
        <f>SUM(G506:P506)</f>
        <v>0</v>
      </c>
    </row>
    <row r="507" spans="1:17" ht="27.75" customHeight="1" x14ac:dyDescent="0.2">
      <c r="A507" s="162"/>
      <c r="B507" s="312"/>
      <c r="C507" s="613" t="s">
        <v>890</v>
      </c>
      <c r="D507" s="380" t="s">
        <v>1415</v>
      </c>
      <c r="E507" s="187"/>
      <c r="F507" s="187">
        <v>164301</v>
      </c>
      <c r="G507" s="3">
        <f>0+[1]táj.2!G507</f>
        <v>0</v>
      </c>
      <c r="H507" s="3">
        <f>0+[1]táj.2!H507</f>
        <v>0</v>
      </c>
      <c r="I507" s="3">
        <f>0+[1]táj.2!I507</f>
        <v>0</v>
      </c>
      <c r="J507" s="3">
        <f>0+[1]táj.2!J507</f>
        <v>0</v>
      </c>
      <c r="K507" s="3">
        <f>0+[1]táj.2!K507</f>
        <v>0</v>
      </c>
      <c r="L507" s="3">
        <f>0+[1]táj.2!L507</f>
        <v>0</v>
      </c>
      <c r="M507" s="3">
        <f>1000+[1]táj.2!M507</f>
        <v>0</v>
      </c>
      <c r="N507" s="3">
        <f>0+[1]táj.2!N507</f>
        <v>0</v>
      </c>
      <c r="O507" s="3">
        <f>0+[1]táj.2!O507</f>
        <v>0</v>
      </c>
      <c r="P507" s="3">
        <f>0+[1]táj.2!P507</f>
        <v>0</v>
      </c>
      <c r="Q507" s="7">
        <f>SUM(G507:P507)</f>
        <v>0</v>
      </c>
    </row>
    <row r="508" spans="1:17" ht="17.100000000000001" customHeight="1" x14ac:dyDescent="0.2">
      <c r="A508" s="162"/>
      <c r="B508" s="312"/>
      <c r="C508" s="614" t="s">
        <v>213</v>
      </c>
      <c r="D508" s="281" t="s">
        <v>1131</v>
      </c>
      <c r="E508" s="187"/>
      <c r="F508" s="18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7"/>
    </row>
    <row r="509" spans="1:17" ht="17.100000000000001" customHeight="1" x14ac:dyDescent="0.2">
      <c r="A509" s="162"/>
      <c r="B509" s="312"/>
      <c r="C509" s="614" t="s">
        <v>907</v>
      </c>
      <c r="D509" s="284" t="s">
        <v>1132</v>
      </c>
      <c r="E509" s="596"/>
      <c r="F509" s="187">
        <v>164417</v>
      </c>
      <c r="G509" s="3">
        <f>0+[1]táj.2!G509</f>
        <v>0</v>
      </c>
      <c r="H509" s="3">
        <f>0+[1]táj.2!H509</f>
        <v>0</v>
      </c>
      <c r="I509" s="3">
        <f>0+[1]táj.2!I509</f>
        <v>0</v>
      </c>
      <c r="J509" s="3">
        <f>0+[1]táj.2!J509</f>
        <v>0</v>
      </c>
      <c r="K509" s="3">
        <f>0+[1]táj.2!K509</f>
        <v>0</v>
      </c>
      <c r="L509" s="3">
        <f>0+[1]táj.2!L509</f>
        <v>0</v>
      </c>
      <c r="M509" s="3">
        <f>20100+[1]táj.2!M509</f>
        <v>16194</v>
      </c>
      <c r="N509" s="3">
        <f>0+[1]táj.2!N509</f>
        <v>0</v>
      </c>
      <c r="O509" s="3">
        <f>0+[1]táj.2!O509</f>
        <v>0</v>
      </c>
      <c r="P509" s="3">
        <f>0+[1]táj.2!P509</f>
        <v>0</v>
      </c>
      <c r="Q509" s="7">
        <f t="shared" ref="Q509:Q536" si="31">SUM(G509:P509)</f>
        <v>16194</v>
      </c>
    </row>
    <row r="510" spans="1:17" ht="17.100000000000001" customHeight="1" x14ac:dyDescent="0.2">
      <c r="A510" s="162"/>
      <c r="B510" s="312"/>
      <c r="C510" s="614" t="s">
        <v>909</v>
      </c>
      <c r="D510" s="284" t="s">
        <v>1133</v>
      </c>
      <c r="E510" s="596"/>
      <c r="F510" s="187">
        <v>162420</v>
      </c>
      <c r="G510" s="3">
        <f>0+[1]táj.2!G510</f>
        <v>0</v>
      </c>
      <c r="H510" s="3">
        <f>0+[1]táj.2!H510</f>
        <v>0</v>
      </c>
      <c r="I510" s="3">
        <f>0+[1]táj.2!I510</f>
        <v>0</v>
      </c>
      <c r="J510" s="3">
        <f>0+[1]táj.2!J510</f>
        <v>0</v>
      </c>
      <c r="K510" s="3">
        <f>0+[1]táj.2!K510</f>
        <v>0</v>
      </c>
      <c r="L510" s="3">
        <f>5000+[1]táj.2!L510</f>
        <v>0</v>
      </c>
      <c r="M510" s="3">
        <f>0+[1]táj.2!M510</f>
        <v>0</v>
      </c>
      <c r="N510" s="3">
        <f>0+[1]táj.2!N510</f>
        <v>0</v>
      </c>
      <c r="O510" s="3">
        <f>0+[1]táj.2!O510</f>
        <v>0</v>
      </c>
      <c r="P510" s="3">
        <f>0+[1]táj.2!P510</f>
        <v>0</v>
      </c>
      <c r="Q510" s="7">
        <f t="shared" si="31"/>
        <v>0</v>
      </c>
    </row>
    <row r="511" spans="1:17" ht="24.75" customHeight="1" x14ac:dyDescent="0.2">
      <c r="A511" s="162"/>
      <c r="B511" s="312"/>
      <c r="C511" s="614" t="s">
        <v>911</v>
      </c>
      <c r="D511" s="698" t="s">
        <v>1134</v>
      </c>
      <c r="E511" s="596"/>
      <c r="F511" s="187">
        <v>162425</v>
      </c>
      <c r="G511" s="3">
        <f>0+[1]táj.2!G511</f>
        <v>0</v>
      </c>
      <c r="H511" s="3">
        <f>0+[1]táj.2!H511</f>
        <v>0</v>
      </c>
      <c r="I511" s="3">
        <f>0+[1]táj.2!I511</f>
        <v>0</v>
      </c>
      <c r="J511" s="3">
        <f>0+[1]táj.2!J511</f>
        <v>0</v>
      </c>
      <c r="K511" s="3">
        <f>0+[1]táj.2!K511</f>
        <v>0</v>
      </c>
      <c r="L511" s="3">
        <f>12000+[1]táj.2!L511</f>
        <v>0</v>
      </c>
      <c r="M511" s="3">
        <f>0+[1]táj.2!M511</f>
        <v>0</v>
      </c>
      <c r="N511" s="3">
        <f>0+[1]táj.2!N511</f>
        <v>0</v>
      </c>
      <c r="O511" s="3">
        <f>0+[1]táj.2!O511</f>
        <v>0</v>
      </c>
      <c r="P511" s="3">
        <f>0+[1]táj.2!P511</f>
        <v>0</v>
      </c>
      <c r="Q511" s="7">
        <f t="shared" si="31"/>
        <v>0</v>
      </c>
    </row>
    <row r="512" spans="1:17" ht="17.25" customHeight="1" x14ac:dyDescent="0.2">
      <c r="A512" s="162"/>
      <c r="B512" s="312"/>
      <c r="C512" s="614" t="s">
        <v>913</v>
      </c>
      <c r="D512" s="290" t="s">
        <v>1135</v>
      </c>
      <c r="E512" s="596"/>
      <c r="F512" s="187">
        <v>162426</v>
      </c>
      <c r="G512" s="3">
        <f>0+[1]táj.2!G512</f>
        <v>0</v>
      </c>
      <c r="H512" s="3">
        <f>0+[1]táj.2!H512</f>
        <v>0</v>
      </c>
      <c r="I512" s="3">
        <f>0+[1]táj.2!I512</f>
        <v>0</v>
      </c>
      <c r="J512" s="3">
        <f>0+[1]táj.2!J512</f>
        <v>0</v>
      </c>
      <c r="K512" s="3">
        <f>0+[1]táj.2!K512</f>
        <v>0</v>
      </c>
      <c r="L512" s="3">
        <f>2000+[1]táj.2!L512</f>
        <v>2000</v>
      </c>
      <c r="M512" s="3">
        <f>0+[1]táj.2!M512</f>
        <v>0</v>
      </c>
      <c r="N512" s="3">
        <f>0+[1]táj.2!N512</f>
        <v>0</v>
      </c>
      <c r="O512" s="3">
        <f>0+[1]táj.2!O512</f>
        <v>0</v>
      </c>
      <c r="P512" s="3">
        <f>0+[1]táj.2!P512</f>
        <v>0</v>
      </c>
      <c r="Q512" s="7">
        <f t="shared" si="31"/>
        <v>2000</v>
      </c>
    </row>
    <row r="513" spans="1:17" ht="15.75" customHeight="1" x14ac:dyDescent="0.2">
      <c r="A513" s="162"/>
      <c r="B513" s="312"/>
      <c r="C513" s="614" t="s">
        <v>915</v>
      </c>
      <c r="D513" s="290" t="s">
        <v>1136</v>
      </c>
      <c r="E513" s="596"/>
      <c r="F513" s="187">
        <v>162966</v>
      </c>
      <c r="G513" s="3">
        <f>0+[1]táj.2!G513</f>
        <v>0</v>
      </c>
      <c r="H513" s="3">
        <f>0+[1]táj.2!H513</f>
        <v>0</v>
      </c>
      <c r="I513" s="3">
        <f>0+[1]táj.2!I513</f>
        <v>0</v>
      </c>
      <c r="J513" s="3">
        <f>0+[1]táj.2!J513</f>
        <v>0</v>
      </c>
      <c r="K513" s="3">
        <f>0+[1]táj.2!K513</f>
        <v>0</v>
      </c>
      <c r="L513" s="3">
        <f>1000+[1]táj.2!L513</f>
        <v>0</v>
      </c>
      <c r="M513" s="3">
        <f>0+[1]táj.2!M513</f>
        <v>0</v>
      </c>
      <c r="N513" s="3">
        <f>0+[1]táj.2!N513</f>
        <v>0</v>
      </c>
      <c r="O513" s="3">
        <f>0+[1]táj.2!O513</f>
        <v>0</v>
      </c>
      <c r="P513" s="3">
        <f>0+[1]táj.2!P513</f>
        <v>0</v>
      </c>
      <c r="Q513" s="7">
        <f t="shared" si="31"/>
        <v>0</v>
      </c>
    </row>
    <row r="514" spans="1:17" ht="24.75" customHeight="1" x14ac:dyDescent="0.2">
      <c r="A514" s="162"/>
      <c r="B514" s="312"/>
      <c r="C514" s="614" t="s">
        <v>917</v>
      </c>
      <c r="D514" s="290" t="s">
        <v>1137</v>
      </c>
      <c r="E514" s="596"/>
      <c r="F514" s="187">
        <v>162427</v>
      </c>
      <c r="G514" s="3">
        <f>0+[1]táj.2!G514</f>
        <v>0</v>
      </c>
      <c r="H514" s="3">
        <f>0+[1]táj.2!H514</f>
        <v>0</v>
      </c>
      <c r="I514" s="3">
        <f>0+[1]táj.2!I514</f>
        <v>0</v>
      </c>
      <c r="J514" s="3">
        <f>0+[1]táj.2!J514</f>
        <v>0</v>
      </c>
      <c r="K514" s="3">
        <f>0+[1]táj.2!K514</f>
        <v>0</v>
      </c>
      <c r="L514" s="3">
        <f>3000+[1]táj.2!L514</f>
        <v>0</v>
      </c>
      <c r="M514" s="3">
        <f>0+[1]táj.2!M514</f>
        <v>0</v>
      </c>
      <c r="N514" s="3">
        <f>0+[1]táj.2!N514</f>
        <v>0</v>
      </c>
      <c r="O514" s="3">
        <f>0+[1]táj.2!O514</f>
        <v>0</v>
      </c>
      <c r="P514" s="3">
        <f>0+[1]táj.2!P514</f>
        <v>0</v>
      </c>
      <c r="Q514" s="7">
        <f t="shared" si="31"/>
        <v>0</v>
      </c>
    </row>
    <row r="515" spans="1:17" ht="18.75" customHeight="1" x14ac:dyDescent="0.2">
      <c r="A515" s="162"/>
      <c r="B515" s="312"/>
      <c r="C515" s="614" t="s">
        <v>919</v>
      </c>
      <c r="D515" s="175" t="s">
        <v>1138</v>
      </c>
      <c r="E515" s="596"/>
      <c r="F515" s="187">
        <v>162428</v>
      </c>
      <c r="G515" s="3">
        <f>0+[1]táj.2!G515</f>
        <v>0</v>
      </c>
      <c r="H515" s="3">
        <f>0+[1]táj.2!H515</f>
        <v>0</v>
      </c>
      <c r="I515" s="3">
        <f>0+[1]táj.2!I515</f>
        <v>0</v>
      </c>
      <c r="J515" s="3">
        <f>0+[1]táj.2!J515</f>
        <v>0</v>
      </c>
      <c r="K515" s="3">
        <f>0+[1]táj.2!K515</f>
        <v>0</v>
      </c>
      <c r="L515" s="3">
        <f>18000+[1]táj.2!L515</f>
        <v>8000</v>
      </c>
      <c r="M515" s="3">
        <f>0+[1]táj.2!M515</f>
        <v>0</v>
      </c>
      <c r="N515" s="3">
        <f>0+[1]táj.2!N515</f>
        <v>0</v>
      </c>
      <c r="O515" s="3">
        <f>0+[1]táj.2!O515</f>
        <v>0</v>
      </c>
      <c r="P515" s="3">
        <f>0+[1]táj.2!P515</f>
        <v>0</v>
      </c>
      <c r="Q515" s="7">
        <f t="shared" si="31"/>
        <v>8000</v>
      </c>
    </row>
    <row r="516" spans="1:17" ht="18.75" customHeight="1" x14ac:dyDescent="0.2">
      <c r="A516" s="162"/>
      <c r="B516" s="312"/>
      <c r="C516" s="614" t="s">
        <v>921</v>
      </c>
      <c r="D516" s="175" t="s">
        <v>1139</v>
      </c>
      <c r="E516" s="596"/>
      <c r="F516" s="187">
        <v>162429</v>
      </c>
      <c r="G516" s="3">
        <f>0+[1]táj.2!G516</f>
        <v>0</v>
      </c>
      <c r="H516" s="3">
        <f>0+[1]táj.2!H516</f>
        <v>0</v>
      </c>
      <c r="I516" s="3">
        <f>0+[1]táj.2!I516</f>
        <v>1962</v>
      </c>
      <c r="J516" s="3">
        <f>0+[1]táj.2!J516</f>
        <v>0</v>
      </c>
      <c r="K516" s="3">
        <f>0+[1]táj.2!K516</f>
        <v>0</v>
      </c>
      <c r="L516" s="3">
        <f>12000+[1]táj.2!L516</f>
        <v>5438</v>
      </c>
      <c r="M516" s="3">
        <f>0+[1]táj.2!M516</f>
        <v>0</v>
      </c>
      <c r="N516" s="3">
        <f>0+[1]táj.2!N516</f>
        <v>0</v>
      </c>
      <c r="O516" s="3">
        <f>0+[1]táj.2!O516</f>
        <v>0</v>
      </c>
      <c r="P516" s="3">
        <f>0+[1]táj.2!P516</f>
        <v>0</v>
      </c>
      <c r="Q516" s="7">
        <f t="shared" si="31"/>
        <v>7400</v>
      </c>
    </row>
    <row r="517" spans="1:17" ht="16.5" customHeight="1" x14ac:dyDescent="0.2">
      <c r="A517" s="162"/>
      <c r="B517" s="312"/>
      <c r="C517" s="614" t="s">
        <v>923</v>
      </c>
      <c r="D517" s="698" t="s">
        <v>1140</v>
      </c>
      <c r="E517" s="596"/>
      <c r="F517" s="187">
        <v>162430</v>
      </c>
      <c r="G517" s="3">
        <f>0+[1]táj.2!G517</f>
        <v>0</v>
      </c>
      <c r="H517" s="3">
        <f>0+[1]táj.2!H517</f>
        <v>0</v>
      </c>
      <c r="I517" s="3">
        <f>0+[1]táj.2!I517</f>
        <v>0</v>
      </c>
      <c r="J517" s="3">
        <f>0+[1]táj.2!J517</f>
        <v>0</v>
      </c>
      <c r="K517" s="3">
        <f>0+[1]táj.2!K517</f>
        <v>0</v>
      </c>
      <c r="L517" s="3">
        <f>1000+[1]táj.2!L517</f>
        <v>1000</v>
      </c>
      <c r="M517" s="3">
        <f>0+[1]táj.2!M517</f>
        <v>0</v>
      </c>
      <c r="N517" s="3">
        <f>0+[1]táj.2!N517</f>
        <v>0</v>
      </c>
      <c r="O517" s="3">
        <f>0+[1]táj.2!O517</f>
        <v>0</v>
      </c>
      <c r="P517" s="3">
        <f>0+[1]táj.2!P517</f>
        <v>0</v>
      </c>
      <c r="Q517" s="7">
        <f t="shared" si="31"/>
        <v>1000</v>
      </c>
    </row>
    <row r="518" spans="1:17" ht="16.5" customHeight="1" x14ac:dyDescent="0.2">
      <c r="A518" s="162"/>
      <c r="B518" s="312"/>
      <c r="C518" s="614" t="s">
        <v>925</v>
      </c>
      <c r="D518" s="698" t="s">
        <v>1414</v>
      </c>
      <c r="E518" s="596"/>
      <c r="F518" s="187">
        <v>162431</v>
      </c>
      <c r="G518" s="3">
        <f>0+[1]táj.2!G518</f>
        <v>0</v>
      </c>
      <c r="H518" s="3">
        <f>0+[1]táj.2!H518</f>
        <v>0</v>
      </c>
      <c r="I518" s="3">
        <f>0+[1]táj.2!I518</f>
        <v>0</v>
      </c>
      <c r="J518" s="3">
        <f>0+[1]táj.2!J518</f>
        <v>0</v>
      </c>
      <c r="K518" s="3">
        <f>0+[1]táj.2!K518</f>
        <v>0</v>
      </c>
      <c r="L518" s="3">
        <f>4000+[1]táj.2!L518</f>
        <v>3730</v>
      </c>
      <c r="M518" s="3">
        <f>0+[1]táj.2!M518</f>
        <v>0</v>
      </c>
      <c r="N518" s="3">
        <f>0+[1]táj.2!N518</f>
        <v>0</v>
      </c>
      <c r="O518" s="3">
        <f>0+[1]táj.2!O518</f>
        <v>0</v>
      </c>
      <c r="P518" s="3">
        <f>0+[1]táj.2!P518</f>
        <v>0</v>
      </c>
      <c r="Q518" s="7">
        <f t="shared" si="31"/>
        <v>3730</v>
      </c>
    </row>
    <row r="519" spans="1:17" ht="36" customHeight="1" x14ac:dyDescent="0.2">
      <c r="A519" s="162"/>
      <c r="B519" s="312"/>
      <c r="C519" s="614" t="s">
        <v>926</v>
      </c>
      <c r="D519" s="231" t="s">
        <v>908</v>
      </c>
      <c r="E519" s="596"/>
      <c r="F519" s="187">
        <v>152417</v>
      </c>
      <c r="G519" s="3">
        <f>0+[1]táj.2!G519</f>
        <v>0</v>
      </c>
      <c r="H519" s="3">
        <f>0+[1]táj.2!H519</f>
        <v>0</v>
      </c>
      <c r="I519" s="3">
        <f>0+[1]táj.2!I519</f>
        <v>0</v>
      </c>
      <c r="J519" s="3">
        <f>0+[1]táj.2!J519</f>
        <v>0</v>
      </c>
      <c r="K519" s="3">
        <f>0+[1]táj.2!K519</f>
        <v>0</v>
      </c>
      <c r="L519" s="3">
        <f>921+[1]táj.2!L519</f>
        <v>0</v>
      </c>
      <c r="M519" s="3">
        <f>0+[1]táj.2!M519</f>
        <v>0</v>
      </c>
      <c r="N519" s="3">
        <f>0+[1]táj.2!N519</f>
        <v>0</v>
      </c>
      <c r="O519" s="3">
        <f>0+[1]táj.2!O519</f>
        <v>0</v>
      </c>
      <c r="P519" s="3">
        <f>0+[1]táj.2!P519</f>
        <v>0</v>
      </c>
      <c r="Q519" s="7">
        <f t="shared" si="31"/>
        <v>0</v>
      </c>
    </row>
    <row r="520" spans="1:17" ht="16.5" customHeight="1" x14ac:dyDescent="0.2">
      <c r="A520" s="162"/>
      <c r="B520" s="312"/>
      <c r="C520" s="614" t="s">
        <v>928</v>
      </c>
      <c r="D520" s="284" t="s">
        <v>910</v>
      </c>
      <c r="E520" s="289"/>
      <c r="F520" s="187">
        <v>152418</v>
      </c>
      <c r="G520" s="3">
        <f>0+[1]táj.2!G520</f>
        <v>0</v>
      </c>
      <c r="H520" s="3">
        <f>0+[1]táj.2!H520</f>
        <v>0</v>
      </c>
      <c r="I520" s="3">
        <f>0+[1]táj.2!I520</f>
        <v>0</v>
      </c>
      <c r="J520" s="3">
        <f>0+[1]táj.2!J520</f>
        <v>0</v>
      </c>
      <c r="K520" s="3">
        <f>0+[1]táj.2!K520</f>
        <v>0</v>
      </c>
      <c r="L520" s="3">
        <f>1361+[1]táj.2!L520</f>
        <v>0</v>
      </c>
      <c r="M520" s="3">
        <f>0+[1]táj.2!M520</f>
        <v>0</v>
      </c>
      <c r="N520" s="3">
        <f>0+[1]táj.2!N520</f>
        <v>0</v>
      </c>
      <c r="O520" s="3">
        <f>0+[1]táj.2!O520</f>
        <v>0</v>
      </c>
      <c r="P520" s="3">
        <f>0+[1]táj.2!P520</f>
        <v>0</v>
      </c>
      <c r="Q520" s="7">
        <f t="shared" si="31"/>
        <v>0</v>
      </c>
    </row>
    <row r="521" spans="1:17" ht="27.75" customHeight="1" x14ac:dyDescent="0.2">
      <c r="A521" s="162"/>
      <c r="B521" s="312"/>
      <c r="C521" s="614" t="s">
        <v>930</v>
      </c>
      <c r="D521" s="284" t="s">
        <v>916</v>
      </c>
      <c r="E521" s="596"/>
      <c r="F521" s="187">
        <v>152413</v>
      </c>
      <c r="G521" s="3">
        <f>0+[1]táj.2!G521</f>
        <v>0</v>
      </c>
      <c r="H521" s="3">
        <f>0+[1]táj.2!H521</f>
        <v>0</v>
      </c>
      <c r="I521" s="3">
        <f>0+[1]táj.2!I521</f>
        <v>0</v>
      </c>
      <c r="J521" s="3">
        <f>0+[1]táj.2!J521</f>
        <v>0</v>
      </c>
      <c r="K521" s="3">
        <f>0+[1]táj.2!K521</f>
        <v>0</v>
      </c>
      <c r="L521" s="3">
        <f>7500+[1]táj.2!L521</f>
        <v>0</v>
      </c>
      <c r="M521" s="3">
        <f>0+[1]táj.2!M521</f>
        <v>0</v>
      </c>
      <c r="N521" s="3">
        <f>0+[1]táj.2!N521</f>
        <v>0</v>
      </c>
      <c r="O521" s="3">
        <f>0+[1]táj.2!O521</f>
        <v>0</v>
      </c>
      <c r="P521" s="3">
        <f>0+[1]táj.2!P521</f>
        <v>0</v>
      </c>
      <c r="Q521" s="7">
        <f t="shared" si="31"/>
        <v>0</v>
      </c>
    </row>
    <row r="522" spans="1:17" ht="16.5" customHeight="1" x14ac:dyDescent="0.2">
      <c r="A522" s="162"/>
      <c r="B522" s="312"/>
      <c r="C522" s="614" t="s">
        <v>932</v>
      </c>
      <c r="D522" s="284" t="s">
        <v>933</v>
      </c>
      <c r="E522" s="596"/>
      <c r="F522" s="187">
        <v>155486</v>
      </c>
      <c r="G522" s="3">
        <f>0+[1]táj.2!G522</f>
        <v>0</v>
      </c>
      <c r="H522" s="3">
        <f>0+[1]táj.2!H522</f>
        <v>0</v>
      </c>
      <c r="I522" s="3">
        <f>0+[1]táj.2!I522</f>
        <v>0</v>
      </c>
      <c r="J522" s="3">
        <f>0+[1]táj.2!J522</f>
        <v>0</v>
      </c>
      <c r="K522" s="3">
        <f>0+[1]táj.2!K522</f>
        <v>0</v>
      </c>
      <c r="L522" s="3">
        <f>0+[1]táj.2!L522</f>
        <v>0</v>
      </c>
      <c r="M522" s="3">
        <f>9500+[1]táj.2!M522</f>
        <v>0</v>
      </c>
      <c r="N522" s="3">
        <f>0+[1]táj.2!N522</f>
        <v>0</v>
      </c>
      <c r="O522" s="3">
        <f>0+[1]táj.2!O522</f>
        <v>0</v>
      </c>
      <c r="P522" s="3">
        <f>0+[1]táj.2!P522</f>
        <v>0</v>
      </c>
      <c r="Q522" s="7">
        <f t="shared" si="31"/>
        <v>0</v>
      </c>
    </row>
    <row r="523" spans="1:17" ht="16.5" customHeight="1" x14ac:dyDescent="0.2">
      <c r="A523" s="162"/>
      <c r="B523" s="312"/>
      <c r="C523" s="614" t="s">
        <v>934</v>
      </c>
      <c r="D523" s="284" t="s">
        <v>935</v>
      </c>
      <c r="E523" s="596"/>
      <c r="F523" s="187">
        <v>155487</v>
      </c>
      <c r="G523" s="3">
        <f>0+[1]táj.2!G523</f>
        <v>0</v>
      </c>
      <c r="H523" s="3">
        <f>0+[1]táj.2!H523</f>
        <v>0</v>
      </c>
      <c r="I523" s="3">
        <f>0+[1]táj.2!I523</f>
        <v>0</v>
      </c>
      <c r="J523" s="3">
        <f>0+[1]táj.2!J523</f>
        <v>0</v>
      </c>
      <c r="K523" s="3">
        <f>0+[1]táj.2!K523</f>
        <v>0</v>
      </c>
      <c r="L523" s="3">
        <f>0+[1]táj.2!L523</f>
        <v>0</v>
      </c>
      <c r="M523" s="3">
        <f>9500+[1]táj.2!M523</f>
        <v>0</v>
      </c>
      <c r="N523" s="3">
        <f>0+[1]táj.2!N523</f>
        <v>0</v>
      </c>
      <c r="O523" s="3">
        <f>0+[1]táj.2!O523</f>
        <v>0</v>
      </c>
      <c r="P523" s="3">
        <f>0+[1]táj.2!P523</f>
        <v>0</v>
      </c>
      <c r="Q523" s="7">
        <f t="shared" si="31"/>
        <v>0</v>
      </c>
    </row>
    <row r="524" spans="1:17" ht="16.5" customHeight="1" x14ac:dyDescent="0.2">
      <c r="A524" s="162"/>
      <c r="B524" s="312"/>
      <c r="C524" s="614" t="s">
        <v>936</v>
      </c>
      <c r="D524" s="284" t="s">
        <v>937</v>
      </c>
      <c r="E524" s="596"/>
      <c r="F524" s="187">
        <v>155488</v>
      </c>
      <c r="G524" s="3">
        <f>0+[1]táj.2!G524</f>
        <v>0</v>
      </c>
      <c r="H524" s="3">
        <f>0+[1]táj.2!H524</f>
        <v>0</v>
      </c>
      <c r="I524" s="3">
        <f>0+[1]táj.2!I524</f>
        <v>0</v>
      </c>
      <c r="J524" s="3">
        <f>0+[1]táj.2!J524</f>
        <v>0</v>
      </c>
      <c r="K524" s="3">
        <f>0+[1]táj.2!K524</f>
        <v>0</v>
      </c>
      <c r="L524" s="3">
        <f>0+[1]táj.2!L524</f>
        <v>0</v>
      </c>
      <c r="M524" s="3">
        <f>0+[1]táj.2!M524</f>
        <v>0</v>
      </c>
      <c r="N524" s="3">
        <f>2000+[1]táj.2!N524</f>
        <v>2000</v>
      </c>
      <c r="O524" s="3">
        <f>0+[1]táj.2!O524</f>
        <v>0</v>
      </c>
      <c r="P524" s="3">
        <f>0+[1]táj.2!P524</f>
        <v>0</v>
      </c>
      <c r="Q524" s="7">
        <f t="shared" si="31"/>
        <v>2000</v>
      </c>
    </row>
    <row r="525" spans="1:17" ht="16.5" customHeight="1" x14ac:dyDescent="0.2">
      <c r="A525" s="162"/>
      <c r="B525" s="312"/>
      <c r="C525" s="614" t="s">
        <v>938</v>
      </c>
      <c r="D525" s="698" t="s">
        <v>939</v>
      </c>
      <c r="E525" s="187"/>
      <c r="F525" s="187">
        <v>152491</v>
      </c>
      <c r="G525" s="3">
        <f>0+[1]táj.2!G525</f>
        <v>0</v>
      </c>
      <c r="H525" s="3">
        <f>0+[1]táj.2!H525</f>
        <v>0</v>
      </c>
      <c r="I525" s="3">
        <f>0+[1]táj.2!I525</f>
        <v>0</v>
      </c>
      <c r="J525" s="3">
        <f>0+[1]táj.2!J525</f>
        <v>0</v>
      </c>
      <c r="K525" s="3">
        <f>0+[1]táj.2!K525</f>
        <v>0</v>
      </c>
      <c r="L525" s="3">
        <f>0+[1]táj.2!L525</f>
        <v>0</v>
      </c>
      <c r="M525" s="3">
        <f>0+[1]táj.2!M525</f>
        <v>0</v>
      </c>
      <c r="N525" s="3">
        <f>0+[1]táj.2!N525</f>
        <v>0</v>
      </c>
      <c r="O525" s="3">
        <f>0+[1]táj.2!O525</f>
        <v>0</v>
      </c>
      <c r="P525" s="3">
        <f>0+[1]táj.2!P525</f>
        <v>0</v>
      </c>
      <c r="Q525" s="7">
        <f t="shared" si="31"/>
        <v>0</v>
      </c>
    </row>
    <row r="526" spans="1:17" ht="16.5" customHeight="1" x14ac:dyDescent="0.2">
      <c r="A526" s="162"/>
      <c r="B526" s="312"/>
      <c r="C526" s="614" t="s">
        <v>940</v>
      </c>
      <c r="D526" s="284" t="s">
        <v>943</v>
      </c>
      <c r="E526" s="596"/>
      <c r="F526" s="187">
        <v>152492</v>
      </c>
      <c r="G526" s="3">
        <f>0+[1]táj.2!G526</f>
        <v>0</v>
      </c>
      <c r="H526" s="3">
        <f>0+[1]táj.2!H526</f>
        <v>0</v>
      </c>
      <c r="I526" s="3">
        <f>0+[1]táj.2!I526</f>
        <v>0</v>
      </c>
      <c r="J526" s="3">
        <f>0+[1]táj.2!J526</f>
        <v>0</v>
      </c>
      <c r="K526" s="3">
        <f>0+[1]táj.2!K526</f>
        <v>0</v>
      </c>
      <c r="L526" s="3">
        <f>7000+[1]táj.2!L526</f>
        <v>0</v>
      </c>
      <c r="M526" s="3">
        <f>0+[1]táj.2!M526</f>
        <v>0</v>
      </c>
      <c r="N526" s="3">
        <f>0+[1]táj.2!N526</f>
        <v>0</v>
      </c>
      <c r="O526" s="3">
        <f>0+[1]táj.2!O526</f>
        <v>0</v>
      </c>
      <c r="P526" s="3">
        <f>0+[1]táj.2!P526</f>
        <v>0</v>
      </c>
      <c r="Q526" s="7">
        <f t="shared" si="31"/>
        <v>0</v>
      </c>
    </row>
    <row r="527" spans="1:17" ht="16.5" customHeight="1" x14ac:dyDescent="0.2">
      <c r="A527" s="162"/>
      <c r="B527" s="312"/>
      <c r="C527" s="614" t="s">
        <v>942</v>
      </c>
      <c r="D527" s="452" t="s">
        <v>952</v>
      </c>
      <c r="E527" s="596"/>
      <c r="F527" s="187">
        <v>152493</v>
      </c>
      <c r="G527" s="3">
        <f>0+[1]táj.2!G527</f>
        <v>0</v>
      </c>
      <c r="H527" s="3">
        <f>0+[1]táj.2!H527</f>
        <v>0</v>
      </c>
      <c r="I527" s="3">
        <f>0+[1]táj.2!I527</f>
        <v>0</v>
      </c>
      <c r="J527" s="3">
        <f>0+[1]táj.2!J527</f>
        <v>0</v>
      </c>
      <c r="K527" s="3">
        <f>0+[1]táj.2!K527</f>
        <v>0</v>
      </c>
      <c r="L527" s="3">
        <f>2000+[1]táj.2!L527</f>
        <v>0</v>
      </c>
      <c r="M527" s="3">
        <f>0+[1]táj.2!M527</f>
        <v>0</v>
      </c>
      <c r="N527" s="3">
        <f>0+[1]táj.2!N527</f>
        <v>0</v>
      </c>
      <c r="O527" s="3">
        <f>0+[1]táj.2!O527</f>
        <v>0</v>
      </c>
      <c r="P527" s="3">
        <f>0+[1]táj.2!P527</f>
        <v>0</v>
      </c>
      <c r="Q527" s="7">
        <f t="shared" si="31"/>
        <v>0</v>
      </c>
    </row>
    <row r="528" spans="1:17" ht="16.5" customHeight="1" x14ac:dyDescent="0.2">
      <c r="A528" s="162"/>
      <c r="B528" s="312"/>
      <c r="C528" s="614" t="s">
        <v>944</v>
      </c>
      <c r="D528" s="698" t="s">
        <v>1426</v>
      </c>
      <c r="E528" s="596"/>
      <c r="F528" s="187">
        <v>155493</v>
      </c>
      <c r="G528" s="3">
        <f>0+[1]táj.2!G528</f>
        <v>0</v>
      </c>
      <c r="H528" s="3">
        <f>0+[1]táj.2!H528</f>
        <v>0</v>
      </c>
      <c r="I528" s="3">
        <f>0+[1]táj.2!I528</f>
        <v>0</v>
      </c>
      <c r="J528" s="3">
        <f>0+[1]táj.2!J528</f>
        <v>0</v>
      </c>
      <c r="K528" s="3">
        <f>0+[1]táj.2!K528</f>
        <v>0</v>
      </c>
      <c r="L528" s="3">
        <f>0+[1]táj.2!L528</f>
        <v>0</v>
      </c>
      <c r="M528" s="3">
        <f>6000+[1]táj.2!M528</f>
        <v>0</v>
      </c>
      <c r="N528" s="3">
        <f>0+[1]táj.2!N528</f>
        <v>0</v>
      </c>
      <c r="O528" s="3">
        <f>0+[1]táj.2!O528</f>
        <v>0</v>
      </c>
      <c r="P528" s="3">
        <f>0+[1]táj.2!P528</f>
        <v>0</v>
      </c>
      <c r="Q528" s="7">
        <f t="shared" si="31"/>
        <v>0</v>
      </c>
    </row>
    <row r="529" spans="1:17" ht="16.5" customHeight="1" x14ac:dyDescent="0.2">
      <c r="A529" s="162"/>
      <c r="B529" s="312"/>
      <c r="C529" s="614" t="s">
        <v>945</v>
      </c>
      <c r="D529" s="284" t="s">
        <v>961</v>
      </c>
      <c r="E529" s="596"/>
      <c r="F529" s="187">
        <v>152494</v>
      </c>
      <c r="G529" s="3">
        <f>0+[1]táj.2!G529</f>
        <v>0</v>
      </c>
      <c r="H529" s="3">
        <f>0+[1]táj.2!H529</f>
        <v>0</v>
      </c>
      <c r="I529" s="3">
        <f>0+[1]táj.2!I529</f>
        <v>0</v>
      </c>
      <c r="J529" s="3">
        <f>0+[1]táj.2!J529</f>
        <v>0</v>
      </c>
      <c r="K529" s="3">
        <f>0+[1]táj.2!K529</f>
        <v>0</v>
      </c>
      <c r="L529" s="3">
        <f>2000+[1]táj.2!L529</f>
        <v>0</v>
      </c>
      <c r="M529" s="3">
        <f>0+[1]táj.2!M529</f>
        <v>0</v>
      </c>
      <c r="N529" s="3">
        <f>0+[1]táj.2!N529</f>
        <v>0</v>
      </c>
      <c r="O529" s="3">
        <f>0+[1]táj.2!O529</f>
        <v>0</v>
      </c>
      <c r="P529" s="3">
        <f>0+[1]táj.2!P529</f>
        <v>0</v>
      </c>
      <c r="Q529" s="7">
        <f t="shared" si="31"/>
        <v>0</v>
      </c>
    </row>
    <row r="530" spans="1:17" ht="16.5" customHeight="1" x14ac:dyDescent="0.2">
      <c r="A530" s="162"/>
      <c r="B530" s="312"/>
      <c r="C530" s="614" t="s">
        <v>947</v>
      </c>
      <c r="D530" s="698" t="s">
        <v>967</v>
      </c>
      <c r="E530" s="596"/>
      <c r="F530" s="187">
        <v>152497</v>
      </c>
      <c r="G530" s="3">
        <f>0+[1]táj.2!G530</f>
        <v>0</v>
      </c>
      <c r="H530" s="3">
        <f>0+[1]táj.2!H530</f>
        <v>0</v>
      </c>
      <c r="I530" s="3">
        <f>0+[1]táj.2!I530</f>
        <v>0</v>
      </c>
      <c r="J530" s="3">
        <f>0+[1]táj.2!J530</f>
        <v>0</v>
      </c>
      <c r="K530" s="3">
        <f>0+[1]táj.2!K530</f>
        <v>0</v>
      </c>
      <c r="L530" s="3">
        <f>2000+[1]táj.2!L530</f>
        <v>0</v>
      </c>
      <c r="M530" s="3">
        <f>0+[1]táj.2!M530</f>
        <v>0</v>
      </c>
      <c r="N530" s="3">
        <f>0+[1]táj.2!N530</f>
        <v>0</v>
      </c>
      <c r="O530" s="3">
        <f>0+[1]táj.2!O530</f>
        <v>0</v>
      </c>
      <c r="P530" s="3">
        <f>0+[1]táj.2!P530</f>
        <v>0</v>
      </c>
      <c r="Q530" s="7">
        <f t="shared" si="31"/>
        <v>0</v>
      </c>
    </row>
    <row r="531" spans="1:17" ht="16.5" customHeight="1" x14ac:dyDescent="0.2">
      <c r="A531" s="162"/>
      <c r="B531" s="312"/>
      <c r="C531" s="614" t="s">
        <v>949</v>
      </c>
      <c r="D531" s="284" t="s">
        <v>969</v>
      </c>
      <c r="E531" s="596"/>
      <c r="F531" s="187">
        <v>152498</v>
      </c>
      <c r="G531" s="3">
        <f>0+[1]táj.2!G531</f>
        <v>0</v>
      </c>
      <c r="H531" s="3">
        <f>0+[1]táj.2!H531</f>
        <v>0</v>
      </c>
      <c r="I531" s="3">
        <f>0+[1]táj.2!I531</f>
        <v>0</v>
      </c>
      <c r="J531" s="3">
        <f>0+[1]táj.2!J531</f>
        <v>0</v>
      </c>
      <c r="K531" s="3">
        <f>0+[1]táj.2!K531</f>
        <v>0</v>
      </c>
      <c r="L531" s="3">
        <f>2000+[1]táj.2!L531</f>
        <v>0</v>
      </c>
      <c r="M531" s="3">
        <f>0+[1]táj.2!M531</f>
        <v>0</v>
      </c>
      <c r="N531" s="3">
        <f>0+[1]táj.2!N531</f>
        <v>0</v>
      </c>
      <c r="O531" s="3">
        <f>0+[1]táj.2!O531</f>
        <v>0</v>
      </c>
      <c r="P531" s="3">
        <f>0+[1]táj.2!P531</f>
        <v>0</v>
      </c>
      <c r="Q531" s="7">
        <f t="shared" si="31"/>
        <v>0</v>
      </c>
    </row>
    <row r="532" spans="1:17" ht="16.5" customHeight="1" x14ac:dyDescent="0.2">
      <c r="A532" s="162"/>
      <c r="B532" s="312"/>
      <c r="C532" s="614" t="s">
        <v>951</v>
      </c>
      <c r="D532" s="284" t="s">
        <v>971</v>
      </c>
      <c r="E532" s="596"/>
      <c r="F532" s="187">
        <v>155495</v>
      </c>
      <c r="G532" s="3">
        <f>0+[1]táj.2!G532</f>
        <v>0</v>
      </c>
      <c r="H532" s="3">
        <f>0+[1]táj.2!H532</f>
        <v>0</v>
      </c>
      <c r="I532" s="3">
        <f>0+[1]táj.2!I532</f>
        <v>0</v>
      </c>
      <c r="J532" s="3">
        <f>0+[1]táj.2!J532</f>
        <v>0</v>
      </c>
      <c r="K532" s="3">
        <f>0+[1]táj.2!K532</f>
        <v>0</v>
      </c>
      <c r="L532" s="3">
        <f>0+[1]táj.2!L532</f>
        <v>0</v>
      </c>
      <c r="M532" s="3">
        <f>500+[1]táj.2!M532</f>
        <v>0</v>
      </c>
      <c r="N532" s="3">
        <f>0+[1]táj.2!N532</f>
        <v>0</v>
      </c>
      <c r="O532" s="3">
        <f>0+[1]táj.2!O532</f>
        <v>0</v>
      </c>
      <c r="P532" s="3">
        <f>0+[1]táj.2!P532</f>
        <v>0</v>
      </c>
      <c r="Q532" s="7">
        <f t="shared" si="31"/>
        <v>0</v>
      </c>
    </row>
    <row r="533" spans="1:17" ht="16.5" customHeight="1" x14ac:dyDescent="0.2">
      <c r="A533" s="162"/>
      <c r="B533" s="312"/>
      <c r="C533" s="614" t="s">
        <v>953</v>
      </c>
      <c r="D533" s="698" t="s">
        <v>977</v>
      </c>
      <c r="E533" s="596"/>
      <c r="F533" s="187">
        <v>152421</v>
      </c>
      <c r="G533" s="3">
        <f>0+[1]táj.2!G533</f>
        <v>0</v>
      </c>
      <c r="H533" s="3">
        <f>0+[1]táj.2!H533</f>
        <v>0</v>
      </c>
      <c r="I533" s="3">
        <f>0+[1]táj.2!I533</f>
        <v>0</v>
      </c>
      <c r="J533" s="3">
        <f>0+[1]táj.2!J533</f>
        <v>0</v>
      </c>
      <c r="K533" s="3">
        <f>0+[1]táj.2!K533</f>
        <v>0</v>
      </c>
      <c r="L533" s="3">
        <f>2000+[1]táj.2!L533</f>
        <v>0</v>
      </c>
      <c r="M533" s="3">
        <f>0+[1]táj.2!M533</f>
        <v>0</v>
      </c>
      <c r="N533" s="3">
        <f>0+[1]táj.2!N533</f>
        <v>0</v>
      </c>
      <c r="O533" s="3">
        <f>0+[1]táj.2!O533</f>
        <v>0</v>
      </c>
      <c r="P533" s="3">
        <f>0+[1]táj.2!P533</f>
        <v>0</v>
      </c>
      <c r="Q533" s="7">
        <f t="shared" si="31"/>
        <v>0</v>
      </c>
    </row>
    <row r="534" spans="1:17" ht="16.5" customHeight="1" x14ac:dyDescent="0.2">
      <c r="A534" s="162"/>
      <c r="B534" s="312"/>
      <c r="C534" s="614" t="s">
        <v>955</v>
      </c>
      <c r="D534" s="284" t="s">
        <v>979</v>
      </c>
      <c r="E534" s="596"/>
      <c r="F534" s="187">
        <v>152422</v>
      </c>
      <c r="G534" s="3">
        <f>0+[1]táj.2!G534</f>
        <v>0</v>
      </c>
      <c r="H534" s="3">
        <f>0+[1]táj.2!H534</f>
        <v>0</v>
      </c>
      <c r="I534" s="3">
        <f>0+[1]táj.2!I534</f>
        <v>0</v>
      </c>
      <c r="J534" s="3">
        <f>0+[1]táj.2!J534</f>
        <v>0</v>
      </c>
      <c r="K534" s="3">
        <f>0+[1]táj.2!K534</f>
        <v>0</v>
      </c>
      <c r="L534" s="3">
        <f>3000+[1]táj.2!L534</f>
        <v>0</v>
      </c>
      <c r="M534" s="3">
        <f>0+[1]táj.2!M534</f>
        <v>0</v>
      </c>
      <c r="N534" s="3">
        <f>0+[1]táj.2!N534</f>
        <v>0</v>
      </c>
      <c r="O534" s="3">
        <f>0+[1]táj.2!O534</f>
        <v>0</v>
      </c>
      <c r="P534" s="3">
        <f>0+[1]táj.2!P534</f>
        <v>0</v>
      </c>
      <c r="Q534" s="7">
        <f t="shared" si="31"/>
        <v>0</v>
      </c>
    </row>
    <row r="535" spans="1:17" ht="16.5" customHeight="1" x14ac:dyDescent="0.2">
      <c r="A535" s="162"/>
      <c r="B535" s="312"/>
      <c r="C535" s="614" t="s">
        <v>956</v>
      </c>
      <c r="D535" s="284" t="s">
        <v>983</v>
      </c>
      <c r="E535" s="596"/>
      <c r="F535" s="187">
        <v>152423</v>
      </c>
      <c r="G535" s="3">
        <f>0+[1]táj.2!G535</f>
        <v>0</v>
      </c>
      <c r="H535" s="3">
        <f>0+[1]táj.2!H535</f>
        <v>0</v>
      </c>
      <c r="I535" s="3">
        <f>0+[1]táj.2!I535</f>
        <v>0</v>
      </c>
      <c r="J535" s="3">
        <f>0+[1]táj.2!J535</f>
        <v>0</v>
      </c>
      <c r="K535" s="3">
        <f>0+[1]táj.2!K535</f>
        <v>0</v>
      </c>
      <c r="L535" s="3">
        <f>8000+[1]táj.2!L535</f>
        <v>0</v>
      </c>
      <c r="M535" s="3">
        <f>0+[1]táj.2!M535</f>
        <v>0</v>
      </c>
      <c r="N535" s="3">
        <f>0+[1]táj.2!N535</f>
        <v>0</v>
      </c>
      <c r="O535" s="3">
        <f>0+[1]táj.2!O535</f>
        <v>0</v>
      </c>
      <c r="P535" s="3">
        <f>0+[1]táj.2!P535</f>
        <v>0</v>
      </c>
      <c r="Q535" s="7">
        <f t="shared" si="31"/>
        <v>0</v>
      </c>
    </row>
    <row r="536" spans="1:17" ht="16.5" customHeight="1" x14ac:dyDescent="0.2">
      <c r="A536" s="162"/>
      <c r="B536" s="312"/>
      <c r="C536" s="614" t="s">
        <v>958</v>
      </c>
      <c r="D536" s="284" t="s">
        <v>985</v>
      </c>
      <c r="E536" s="596"/>
      <c r="F536" s="187">
        <v>152424</v>
      </c>
      <c r="G536" s="3">
        <f>0+[1]táj.2!G536</f>
        <v>0</v>
      </c>
      <c r="H536" s="3">
        <f>0+[1]táj.2!H536</f>
        <v>0</v>
      </c>
      <c r="I536" s="3">
        <f>0+[1]táj.2!I536</f>
        <v>0</v>
      </c>
      <c r="J536" s="3">
        <f>0+[1]táj.2!J536</f>
        <v>0</v>
      </c>
      <c r="K536" s="3">
        <f>0+[1]táj.2!K536</f>
        <v>0</v>
      </c>
      <c r="L536" s="3">
        <f>2500+[1]táj.2!L536</f>
        <v>0</v>
      </c>
      <c r="M536" s="3">
        <f>0+[1]táj.2!M536</f>
        <v>0</v>
      </c>
      <c r="N536" s="3">
        <f>0+[1]táj.2!N536</f>
        <v>0</v>
      </c>
      <c r="O536" s="3">
        <f>0+[1]táj.2!O536</f>
        <v>0</v>
      </c>
      <c r="P536" s="3">
        <f>0+[1]táj.2!P536</f>
        <v>0</v>
      </c>
      <c r="Q536" s="7">
        <f t="shared" si="31"/>
        <v>0</v>
      </c>
    </row>
    <row r="537" spans="1:17" ht="17.100000000000001" customHeight="1" x14ac:dyDescent="0.2">
      <c r="A537" s="162"/>
      <c r="B537" s="162"/>
      <c r="C537" s="614"/>
      <c r="D537" s="247" t="s">
        <v>584</v>
      </c>
      <c r="E537" s="187"/>
      <c r="F537" s="18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7"/>
    </row>
    <row r="538" spans="1:17" ht="17.100000000000001" customHeight="1" x14ac:dyDescent="0.2">
      <c r="A538" s="162"/>
      <c r="B538" s="162"/>
      <c r="C538" s="614" t="s">
        <v>1025</v>
      </c>
      <c r="D538" s="313" t="s">
        <v>1141</v>
      </c>
      <c r="E538" s="187"/>
      <c r="F538" s="187">
        <v>162424</v>
      </c>
      <c r="G538" s="3">
        <f>0+[1]táj.2!G538</f>
        <v>0</v>
      </c>
      <c r="H538" s="3">
        <f>0+[1]táj.2!H538</f>
        <v>0</v>
      </c>
      <c r="I538" s="3">
        <f>252+[1]táj.2!I538</f>
        <v>252</v>
      </c>
      <c r="J538" s="3">
        <f>0+[1]táj.2!J538</f>
        <v>0</v>
      </c>
      <c r="K538" s="3">
        <f>0+[1]táj.2!K538</f>
        <v>0</v>
      </c>
      <c r="L538" s="3">
        <f>0+[1]táj.2!L538</f>
        <v>0</v>
      </c>
      <c r="M538" s="3">
        <f>0+[1]táj.2!M538</f>
        <v>0</v>
      </c>
      <c r="N538" s="3">
        <f>0+[1]táj.2!N538</f>
        <v>0</v>
      </c>
      <c r="O538" s="3">
        <f>0+[1]táj.2!O538</f>
        <v>0</v>
      </c>
      <c r="P538" s="3">
        <f>0+[1]táj.2!P538</f>
        <v>0</v>
      </c>
      <c r="Q538" s="7">
        <f>SUM(G538:P538)</f>
        <v>252</v>
      </c>
    </row>
    <row r="539" spans="1:17" ht="17.100000000000001" customHeight="1" x14ac:dyDescent="0.2">
      <c r="A539" s="162"/>
      <c r="B539" s="162"/>
      <c r="C539" s="614" t="s">
        <v>1027</v>
      </c>
      <c r="D539" s="258" t="s">
        <v>1142</v>
      </c>
      <c r="E539" s="187"/>
      <c r="F539" s="187">
        <v>154416</v>
      </c>
      <c r="G539" s="3">
        <f>0+[1]táj.2!G539</f>
        <v>0</v>
      </c>
      <c r="H539" s="3">
        <f>0+[1]táj.2!H539</f>
        <v>0</v>
      </c>
      <c r="I539" s="3">
        <f>0+[1]táj.2!I539</f>
        <v>0</v>
      </c>
      <c r="J539" s="3">
        <f>0+[1]táj.2!J539</f>
        <v>0</v>
      </c>
      <c r="K539" s="3">
        <f>0+[1]táj.2!K539</f>
        <v>0</v>
      </c>
      <c r="L539" s="3">
        <f>0+[1]táj.2!L539</f>
        <v>0</v>
      </c>
      <c r="M539" s="3">
        <f>8649+[1]táj.2!M539</f>
        <v>3649</v>
      </c>
      <c r="N539" s="3">
        <f>0+[1]táj.2!N539</f>
        <v>0</v>
      </c>
      <c r="O539" s="3">
        <f>0+[1]táj.2!O539</f>
        <v>0</v>
      </c>
      <c r="P539" s="3">
        <f>0+[1]táj.2!P539</f>
        <v>0</v>
      </c>
      <c r="Q539" s="7">
        <f>SUM(G539:P539)</f>
        <v>3649</v>
      </c>
    </row>
    <row r="540" spans="1:17" ht="17.100000000000001" customHeight="1" x14ac:dyDescent="0.2">
      <c r="A540" s="162"/>
      <c r="B540" s="162"/>
      <c r="C540" s="614" t="s">
        <v>1029</v>
      </c>
      <c r="D540" s="258" t="s">
        <v>1036</v>
      </c>
      <c r="E540" s="187"/>
      <c r="F540" s="187">
        <v>152415</v>
      </c>
      <c r="G540" s="3">
        <f>0+[1]táj.2!G540</f>
        <v>0</v>
      </c>
      <c r="H540" s="3">
        <f>0+[1]táj.2!H540</f>
        <v>0</v>
      </c>
      <c r="I540" s="3">
        <f>0+[1]táj.2!I540</f>
        <v>0</v>
      </c>
      <c r="J540" s="3">
        <f>0+[1]táj.2!J540</f>
        <v>0</v>
      </c>
      <c r="K540" s="3">
        <f>0+[1]táj.2!K540</f>
        <v>0</v>
      </c>
      <c r="L540" s="3">
        <f>2171+[1]táj.2!L540</f>
        <v>0</v>
      </c>
      <c r="M540" s="3">
        <f>0+[1]táj.2!M540</f>
        <v>0</v>
      </c>
      <c r="N540" s="3">
        <f>0+[1]táj.2!N540</f>
        <v>0</v>
      </c>
      <c r="O540" s="3">
        <f>0+[1]táj.2!O540</f>
        <v>0</v>
      </c>
      <c r="P540" s="3">
        <f>0+[1]táj.2!P540</f>
        <v>0</v>
      </c>
      <c r="Q540" s="7">
        <f>SUM(G540:P540)</f>
        <v>0</v>
      </c>
    </row>
    <row r="541" spans="1:17" ht="17.100000000000001" customHeight="1" x14ac:dyDescent="0.2">
      <c r="A541" s="162"/>
      <c r="B541" s="162"/>
      <c r="C541" s="614" t="s">
        <v>1031</v>
      </c>
      <c r="D541" s="139" t="s">
        <v>1040</v>
      </c>
      <c r="E541" s="187"/>
      <c r="F541" s="187">
        <v>164416</v>
      </c>
      <c r="G541" s="3">
        <f>0+[1]táj.2!G541</f>
        <v>0</v>
      </c>
      <c r="H541" s="3">
        <f>0+[1]táj.2!H541</f>
        <v>0</v>
      </c>
      <c r="I541" s="3">
        <f>0+[1]táj.2!I541</f>
        <v>0</v>
      </c>
      <c r="J541" s="3">
        <f>0+[1]táj.2!J541</f>
        <v>0</v>
      </c>
      <c r="K541" s="3">
        <f>0+[1]táj.2!K541</f>
        <v>0</v>
      </c>
      <c r="L541" s="3">
        <f>0+[1]táj.2!L541</f>
        <v>0</v>
      </c>
      <c r="M541" s="3">
        <f>7968+[1]táj.2!M541</f>
        <v>7968</v>
      </c>
      <c r="N541" s="3">
        <f>0+[1]táj.2!N541</f>
        <v>0</v>
      </c>
      <c r="O541" s="3">
        <f>0+[1]táj.2!O541</f>
        <v>0</v>
      </c>
      <c r="P541" s="3">
        <f>0+[1]táj.2!P541</f>
        <v>0</v>
      </c>
      <c r="Q541" s="7">
        <f>SUM(G541:P541)</f>
        <v>7968</v>
      </c>
    </row>
    <row r="542" spans="1:17" ht="17.100000000000001" customHeight="1" x14ac:dyDescent="0.2">
      <c r="A542" s="162"/>
      <c r="B542" s="162"/>
      <c r="C542" s="614" t="s">
        <v>1033</v>
      </c>
      <c r="D542" s="200" t="s">
        <v>1043</v>
      </c>
      <c r="E542" s="187"/>
      <c r="F542" s="187">
        <v>152408</v>
      </c>
      <c r="G542" s="3">
        <f>0+[1]táj.2!G542</f>
        <v>0</v>
      </c>
      <c r="H542" s="3">
        <f>0+[1]táj.2!H542</f>
        <v>0</v>
      </c>
      <c r="I542" s="3">
        <f>0+[1]táj.2!I542</f>
        <v>0</v>
      </c>
      <c r="J542" s="3">
        <f>0+[1]táj.2!J542</f>
        <v>0</v>
      </c>
      <c r="K542" s="3">
        <f>0+[1]táj.2!K542</f>
        <v>0</v>
      </c>
      <c r="L542" s="3">
        <f>1654+[1]táj.2!L542</f>
        <v>0</v>
      </c>
      <c r="M542" s="3">
        <f>0+[1]táj.2!M542</f>
        <v>0</v>
      </c>
      <c r="N542" s="3">
        <f>0+[1]táj.2!N542</f>
        <v>0</v>
      </c>
      <c r="O542" s="3">
        <f>0+[1]táj.2!O542</f>
        <v>0</v>
      </c>
      <c r="P542" s="3">
        <f>0+[1]táj.2!P542</f>
        <v>0</v>
      </c>
      <c r="Q542" s="7">
        <f>SUM(G542:P542)</f>
        <v>0</v>
      </c>
    </row>
    <row r="543" spans="1:17" ht="17.100000000000001" customHeight="1" x14ac:dyDescent="0.2">
      <c r="A543" s="162"/>
      <c r="B543" s="162"/>
      <c r="C543" s="615" t="s">
        <v>201</v>
      </c>
      <c r="D543" s="223" t="s">
        <v>1044</v>
      </c>
      <c r="E543" s="187"/>
      <c r="F543" s="18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7"/>
    </row>
    <row r="544" spans="1:17" ht="17.100000000000001" customHeight="1" x14ac:dyDescent="0.2">
      <c r="A544" s="162"/>
      <c r="B544" s="162"/>
      <c r="C544" s="615" t="s">
        <v>1045</v>
      </c>
      <c r="D544" s="595" t="s">
        <v>1143</v>
      </c>
      <c r="E544" s="187"/>
      <c r="F544" s="187">
        <v>162505</v>
      </c>
      <c r="G544" s="3">
        <f>0+[1]táj.2!G544</f>
        <v>0</v>
      </c>
      <c r="H544" s="3">
        <f>0+[1]táj.2!H544</f>
        <v>0</v>
      </c>
      <c r="I544" s="3">
        <f>0+[1]táj.2!I544</f>
        <v>0</v>
      </c>
      <c r="J544" s="3">
        <f>0+[1]táj.2!J544</f>
        <v>0</v>
      </c>
      <c r="K544" s="3">
        <f>0+[1]táj.2!K544</f>
        <v>0</v>
      </c>
      <c r="L544" s="3">
        <f>500+[1]táj.2!L544</f>
        <v>0</v>
      </c>
      <c r="M544" s="3">
        <f>0+[1]táj.2!M544</f>
        <v>0</v>
      </c>
      <c r="N544" s="3">
        <f>0+[1]táj.2!N544</f>
        <v>0</v>
      </c>
      <c r="O544" s="3">
        <f>0+[1]táj.2!O544</f>
        <v>0</v>
      </c>
      <c r="P544" s="3">
        <f>0+[1]táj.2!P544</f>
        <v>0</v>
      </c>
      <c r="Q544" s="7">
        <f>SUM(G544:P544)</f>
        <v>0</v>
      </c>
    </row>
    <row r="545" spans="1:17" ht="17.100000000000001" customHeight="1" x14ac:dyDescent="0.2">
      <c r="A545" s="162"/>
      <c r="B545" s="162"/>
      <c r="C545" s="612"/>
      <c r="D545" s="247" t="s">
        <v>584</v>
      </c>
      <c r="E545" s="187"/>
      <c r="F545" s="18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7"/>
    </row>
    <row r="546" spans="1:17" ht="17.100000000000001" customHeight="1" x14ac:dyDescent="0.2">
      <c r="A546" s="162"/>
      <c r="B546" s="162"/>
      <c r="C546" s="616" t="s">
        <v>1072</v>
      </c>
      <c r="D546" s="247" t="s">
        <v>1144</v>
      </c>
      <c r="E546" s="187"/>
      <c r="F546" s="187">
        <v>154513</v>
      </c>
      <c r="G546" s="3">
        <f>0+[1]táj.2!G546</f>
        <v>0</v>
      </c>
      <c r="H546" s="3">
        <f>0+[1]táj.2!H546</f>
        <v>0</v>
      </c>
      <c r="I546" s="3">
        <f>0+[1]táj.2!I546</f>
        <v>0</v>
      </c>
      <c r="J546" s="3">
        <f>0+[1]táj.2!J546</f>
        <v>0</v>
      </c>
      <c r="K546" s="3">
        <f>0+[1]táj.2!K546</f>
        <v>0</v>
      </c>
      <c r="L546" s="3">
        <f>68+[1]táj.2!L546</f>
        <v>68</v>
      </c>
      <c r="M546" s="3">
        <f>0+[1]táj.2!M546</f>
        <v>0</v>
      </c>
      <c r="N546" s="3">
        <f>0+[1]táj.2!N546</f>
        <v>0</v>
      </c>
      <c r="O546" s="3">
        <f>0+[1]táj.2!O546</f>
        <v>0</v>
      </c>
      <c r="P546" s="3">
        <f>0+[1]táj.2!P546</f>
        <v>0</v>
      </c>
      <c r="Q546" s="7">
        <f>SUM(G546:P546)</f>
        <v>68</v>
      </c>
    </row>
    <row r="547" spans="1:17" ht="17.100000000000001" customHeight="1" x14ac:dyDescent="0.2">
      <c r="A547" s="162"/>
      <c r="B547" s="162"/>
      <c r="C547" s="616" t="s">
        <v>1074</v>
      </c>
      <c r="D547" s="247" t="s">
        <v>1145</v>
      </c>
      <c r="E547" s="187"/>
      <c r="F547" s="187">
        <v>154518</v>
      </c>
      <c r="G547" s="3">
        <f>0+[1]táj.2!G547</f>
        <v>0</v>
      </c>
      <c r="H547" s="3">
        <f>0+[1]táj.2!H547</f>
        <v>0</v>
      </c>
      <c r="I547" s="3">
        <f>0+[1]táj.2!I547</f>
        <v>0</v>
      </c>
      <c r="J547" s="3">
        <f>0+[1]táj.2!J547</f>
        <v>0</v>
      </c>
      <c r="K547" s="3">
        <f>0+[1]táj.2!K547</f>
        <v>0</v>
      </c>
      <c r="L547" s="3">
        <f>187+[1]táj.2!L547</f>
        <v>187</v>
      </c>
      <c r="M547" s="3">
        <f>0+[1]táj.2!M547</f>
        <v>0</v>
      </c>
      <c r="N547" s="3">
        <f>0+[1]táj.2!N547</f>
        <v>0</v>
      </c>
      <c r="O547" s="3">
        <f>0+[1]táj.2!O547</f>
        <v>0</v>
      </c>
      <c r="P547" s="3">
        <f>0+[1]táj.2!P547</f>
        <v>0</v>
      </c>
      <c r="Q547" s="7">
        <f>SUM(G547:P547)</f>
        <v>187</v>
      </c>
    </row>
    <row r="548" spans="1:17" ht="17.100000000000001" customHeight="1" x14ac:dyDescent="0.2">
      <c r="A548" s="162"/>
      <c r="B548" s="162"/>
      <c r="C548" s="612" t="s">
        <v>200</v>
      </c>
      <c r="D548" s="288" t="s">
        <v>1146</v>
      </c>
      <c r="E548" s="187"/>
      <c r="F548" s="18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7"/>
    </row>
    <row r="549" spans="1:17" ht="17.100000000000001" customHeight="1" x14ac:dyDescent="0.2">
      <c r="A549" s="162"/>
      <c r="B549" s="162"/>
      <c r="C549" s="612"/>
      <c r="D549" s="247" t="s">
        <v>584</v>
      </c>
      <c r="E549" s="187"/>
      <c r="F549" s="18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7"/>
    </row>
    <row r="550" spans="1:17" ht="17.100000000000001" customHeight="1" x14ac:dyDescent="0.2">
      <c r="A550" s="162"/>
      <c r="B550" s="162"/>
      <c r="C550" s="617" t="s">
        <v>732</v>
      </c>
      <c r="D550" s="314" t="s">
        <v>1147</v>
      </c>
      <c r="E550" s="315"/>
      <c r="F550" s="315">
        <v>162601</v>
      </c>
      <c r="G550" s="3">
        <f>0+[1]táj.2!G550</f>
        <v>0</v>
      </c>
      <c r="H550" s="3">
        <f>0+[1]táj.2!H550</f>
        <v>0</v>
      </c>
      <c r="I550" s="3">
        <f>0+[1]táj.2!I550</f>
        <v>0</v>
      </c>
      <c r="J550" s="3">
        <f>0+[1]táj.2!J550</f>
        <v>0</v>
      </c>
      <c r="K550" s="3">
        <f>0+[1]táj.2!K550</f>
        <v>0</v>
      </c>
      <c r="L550" s="3">
        <f>1791+[1]táj.2!L550</f>
        <v>1791</v>
      </c>
      <c r="M550" s="3">
        <f>0+[1]táj.2!M550</f>
        <v>0</v>
      </c>
      <c r="N550" s="3">
        <f>0+[1]táj.2!N550</f>
        <v>0</v>
      </c>
      <c r="O550" s="3">
        <f>0+[1]táj.2!O550</f>
        <v>0</v>
      </c>
      <c r="P550" s="3">
        <f>0+[1]táj.2!P550</f>
        <v>0</v>
      </c>
      <c r="Q550" s="7">
        <f>SUM(G550:P550)</f>
        <v>1791</v>
      </c>
    </row>
    <row r="551" spans="1:17" ht="17.100000000000001" customHeight="1" x14ac:dyDescent="0.2">
      <c r="A551" s="162"/>
      <c r="B551" s="162"/>
      <c r="C551" s="617" t="s">
        <v>734</v>
      </c>
      <c r="D551" s="314" t="s">
        <v>1148</v>
      </c>
      <c r="E551" s="315"/>
      <c r="F551" s="315">
        <v>162636</v>
      </c>
      <c r="G551" s="3">
        <f>0+[1]táj.2!G551</f>
        <v>0</v>
      </c>
      <c r="H551" s="3">
        <f>0+[1]táj.2!H551</f>
        <v>0</v>
      </c>
      <c r="I551" s="3">
        <f>0+[1]táj.2!I551</f>
        <v>0</v>
      </c>
      <c r="J551" s="3">
        <f>0+[1]táj.2!J551</f>
        <v>0</v>
      </c>
      <c r="K551" s="3">
        <f>0+[1]táj.2!K551</f>
        <v>0</v>
      </c>
      <c r="L551" s="3">
        <f>7510+[1]táj.2!L551</f>
        <v>7510</v>
      </c>
      <c r="M551" s="3">
        <f>0+[1]táj.2!M551</f>
        <v>0</v>
      </c>
      <c r="N551" s="3">
        <f>0+[1]táj.2!N551</f>
        <v>0</v>
      </c>
      <c r="O551" s="3">
        <f>0+[1]táj.2!O551</f>
        <v>0</v>
      </c>
      <c r="P551" s="3">
        <f>0+[1]táj.2!P551</f>
        <v>0</v>
      </c>
      <c r="Q551" s="7">
        <f>SUM(G551:P551)</f>
        <v>7510</v>
      </c>
    </row>
    <row r="552" spans="1:17" ht="17.100000000000001" customHeight="1" x14ac:dyDescent="0.2">
      <c r="A552" s="162"/>
      <c r="B552" s="162"/>
      <c r="C552" s="617" t="s">
        <v>736</v>
      </c>
      <c r="D552" s="314" t="s">
        <v>1149</v>
      </c>
      <c r="E552" s="315"/>
      <c r="F552" s="315">
        <v>162637</v>
      </c>
      <c r="G552" s="3">
        <f>0+[1]táj.2!G552</f>
        <v>0</v>
      </c>
      <c r="H552" s="3">
        <f>0+[1]táj.2!H552</f>
        <v>0</v>
      </c>
      <c r="I552" s="3">
        <f>0+[1]táj.2!I552</f>
        <v>0</v>
      </c>
      <c r="J552" s="3">
        <f>0+[1]táj.2!J552</f>
        <v>0</v>
      </c>
      <c r="K552" s="3">
        <f>0+[1]táj.2!K552</f>
        <v>0</v>
      </c>
      <c r="L552" s="3">
        <f>7079+[1]táj.2!L552</f>
        <v>3651</v>
      </c>
      <c r="M552" s="3">
        <f>0+[1]táj.2!M552</f>
        <v>0</v>
      </c>
      <c r="N552" s="3">
        <f>0+[1]táj.2!N552</f>
        <v>0</v>
      </c>
      <c r="O552" s="3">
        <f>0+[1]táj.2!O552</f>
        <v>0</v>
      </c>
      <c r="P552" s="3">
        <f>0+[1]táj.2!P552</f>
        <v>0</v>
      </c>
      <c r="Q552" s="7">
        <f>SUM(G552:P552)</f>
        <v>3651</v>
      </c>
    </row>
    <row r="553" spans="1:17" ht="17.100000000000001" customHeight="1" x14ac:dyDescent="0.2">
      <c r="A553" s="162"/>
      <c r="B553" s="162"/>
      <c r="C553" s="612" t="s">
        <v>202</v>
      </c>
      <c r="D553" s="316" t="s">
        <v>1082</v>
      </c>
      <c r="E553" s="289"/>
      <c r="F553" s="18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7"/>
    </row>
    <row r="554" spans="1:17" ht="17.100000000000001" customHeight="1" x14ac:dyDescent="0.2">
      <c r="A554" s="162"/>
      <c r="B554" s="162"/>
      <c r="C554" s="617"/>
      <c r="D554" s="247" t="s">
        <v>584</v>
      </c>
      <c r="E554" s="289"/>
      <c r="F554" s="18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7"/>
    </row>
    <row r="555" spans="1:17" ht="26.25" customHeight="1" x14ac:dyDescent="0.2">
      <c r="A555" s="162"/>
      <c r="B555" s="162"/>
      <c r="C555" s="617" t="s">
        <v>1150</v>
      </c>
      <c r="D555" s="317" t="s">
        <v>1151</v>
      </c>
      <c r="E555" s="289"/>
      <c r="F555" s="187">
        <v>162701</v>
      </c>
      <c r="G555" s="3">
        <f>0+[1]táj.2!G555</f>
        <v>0</v>
      </c>
      <c r="H555" s="3">
        <f>0+[1]táj.2!H555</f>
        <v>0</v>
      </c>
      <c r="I555" s="3">
        <f>6777+[1]táj.2!I555</f>
        <v>6777</v>
      </c>
      <c r="J555" s="3">
        <f>0+[1]táj.2!J555</f>
        <v>0</v>
      </c>
      <c r="K555" s="3">
        <f>0+[1]táj.2!K555</f>
        <v>0</v>
      </c>
      <c r="L555" s="3">
        <f>0+[1]táj.2!L555</f>
        <v>0</v>
      </c>
      <c r="M555" s="3">
        <f>0+[1]táj.2!M555</f>
        <v>0</v>
      </c>
      <c r="N555" s="3">
        <f>0+[1]táj.2!N555</f>
        <v>0</v>
      </c>
      <c r="O555" s="3">
        <f>0+[1]táj.2!O555</f>
        <v>0</v>
      </c>
      <c r="P555" s="3">
        <f>0+[1]táj.2!P555</f>
        <v>0</v>
      </c>
      <c r="Q555" s="7">
        <f>SUM(G555:P555)</f>
        <v>6777</v>
      </c>
    </row>
    <row r="556" spans="1:17" ht="16.5" customHeight="1" x14ac:dyDescent="0.2">
      <c r="A556" s="162"/>
      <c r="B556" s="162"/>
      <c r="C556" s="612" t="s">
        <v>203</v>
      </c>
      <c r="D556" s="318" t="s">
        <v>1083</v>
      </c>
      <c r="E556" s="289"/>
      <c r="F556" s="18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7"/>
    </row>
    <row r="557" spans="1:17" ht="15.75" customHeight="1" x14ac:dyDescent="0.2">
      <c r="A557" s="162"/>
      <c r="B557" s="162"/>
      <c r="C557" s="612" t="s">
        <v>204</v>
      </c>
      <c r="D557" s="318" t="s">
        <v>1086</v>
      </c>
      <c r="E557" s="289"/>
      <c r="F557" s="18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7"/>
    </row>
    <row r="558" spans="1:17" ht="15.75" customHeight="1" x14ac:dyDescent="0.2">
      <c r="A558" s="162"/>
      <c r="B558" s="162"/>
      <c r="C558" s="616" t="s">
        <v>1152</v>
      </c>
      <c r="D558" s="313" t="s">
        <v>1153</v>
      </c>
      <c r="E558" s="289"/>
      <c r="F558" s="187">
        <v>164921</v>
      </c>
      <c r="G558" s="3">
        <f>0+[1]táj.2!G558</f>
        <v>0</v>
      </c>
      <c r="H558" s="3">
        <f>0+[1]táj.2!H558</f>
        <v>0</v>
      </c>
      <c r="I558" s="3">
        <f>0+[1]táj.2!I558</f>
        <v>0</v>
      </c>
      <c r="J558" s="3">
        <f>0+[1]táj.2!J558</f>
        <v>0</v>
      </c>
      <c r="K558" s="3">
        <f>0+[1]táj.2!K558</f>
        <v>0</v>
      </c>
      <c r="L558" s="3">
        <f>0+[1]táj.2!L558</f>
        <v>0</v>
      </c>
      <c r="M558" s="3">
        <f>25590+[1]táj.2!M558</f>
        <v>25590</v>
      </c>
      <c r="N558" s="3">
        <f>0+[1]táj.2!N558</f>
        <v>0</v>
      </c>
      <c r="O558" s="3">
        <f>0+[1]táj.2!O558</f>
        <v>0</v>
      </c>
      <c r="P558" s="3">
        <f>0+[1]táj.2!P558</f>
        <v>0</v>
      </c>
      <c r="Q558" s="7">
        <f t="shared" ref="Q558:Q566" si="32">SUM(G558:P558)</f>
        <v>25590</v>
      </c>
    </row>
    <row r="559" spans="1:17" ht="15.75" customHeight="1" x14ac:dyDescent="0.2">
      <c r="A559" s="162"/>
      <c r="B559" s="162"/>
      <c r="C559" s="616" t="s">
        <v>1089</v>
      </c>
      <c r="D559" s="200" t="s">
        <v>1154</v>
      </c>
      <c r="E559" s="596"/>
      <c r="F559" s="187">
        <v>162929</v>
      </c>
      <c r="G559" s="3">
        <f>0+[1]táj.2!G559</f>
        <v>0</v>
      </c>
      <c r="H559" s="3">
        <f>0+[1]táj.2!H559</f>
        <v>0</v>
      </c>
      <c r="I559" s="3">
        <f>0+[1]táj.2!I559</f>
        <v>0</v>
      </c>
      <c r="J559" s="3">
        <f>0+[1]táj.2!J559</f>
        <v>0</v>
      </c>
      <c r="K559" s="3">
        <f>0+[1]táj.2!K559</f>
        <v>0</v>
      </c>
      <c r="L559" s="3">
        <f>840+[1]táj.2!L559</f>
        <v>840</v>
      </c>
      <c r="M559" s="3">
        <f>0+[1]táj.2!M559</f>
        <v>0</v>
      </c>
      <c r="N559" s="3">
        <f>0+[1]táj.2!N559</f>
        <v>0</v>
      </c>
      <c r="O559" s="3">
        <f>0+[1]táj.2!O559</f>
        <v>0</v>
      </c>
      <c r="P559" s="3">
        <f>0+[1]táj.2!P559</f>
        <v>0</v>
      </c>
      <c r="Q559" s="7">
        <f t="shared" si="32"/>
        <v>840</v>
      </c>
    </row>
    <row r="560" spans="1:17" ht="15.75" customHeight="1" x14ac:dyDescent="0.2">
      <c r="A560" s="162"/>
      <c r="B560" s="162"/>
      <c r="C560" s="616" t="s">
        <v>1155</v>
      </c>
      <c r="D560" s="698" t="s">
        <v>1156</v>
      </c>
      <c r="E560" s="187"/>
      <c r="F560" s="187">
        <v>162956</v>
      </c>
      <c r="G560" s="3">
        <f>0+[1]táj.2!G560</f>
        <v>0</v>
      </c>
      <c r="H560" s="3">
        <f>0+[1]táj.2!H560</f>
        <v>0</v>
      </c>
      <c r="I560" s="3">
        <f>0+[1]táj.2!I560</f>
        <v>0</v>
      </c>
      <c r="J560" s="3">
        <f>0+[1]táj.2!J560</f>
        <v>0</v>
      </c>
      <c r="K560" s="3">
        <f>0+[1]táj.2!K560</f>
        <v>0</v>
      </c>
      <c r="L560" s="3">
        <f>500+[1]táj.2!L560</f>
        <v>0</v>
      </c>
      <c r="M560" s="3">
        <f>0+[1]táj.2!M560</f>
        <v>0</v>
      </c>
      <c r="N560" s="3">
        <f>0+[1]táj.2!N560</f>
        <v>0</v>
      </c>
      <c r="O560" s="3">
        <f>0+[1]táj.2!O560</f>
        <v>0</v>
      </c>
      <c r="P560" s="3">
        <f>0+[1]táj.2!P560</f>
        <v>0</v>
      </c>
      <c r="Q560" s="7">
        <f t="shared" si="32"/>
        <v>0</v>
      </c>
    </row>
    <row r="561" spans="1:17" ht="24" customHeight="1" x14ac:dyDescent="0.2">
      <c r="A561" s="162"/>
      <c r="B561" s="162"/>
      <c r="C561" s="616" t="s">
        <v>1157</v>
      </c>
      <c r="D561" s="144" t="s">
        <v>82</v>
      </c>
      <c r="E561" s="289"/>
      <c r="F561" s="187">
        <v>164928</v>
      </c>
      <c r="G561" s="3">
        <f>0+[1]táj.2!G561</f>
        <v>0</v>
      </c>
      <c r="H561" s="3">
        <f>0+[1]táj.2!H561</f>
        <v>0</v>
      </c>
      <c r="I561" s="3">
        <f>0+[1]táj.2!I561</f>
        <v>0</v>
      </c>
      <c r="J561" s="3">
        <f>0+[1]táj.2!J561</f>
        <v>0</v>
      </c>
      <c r="K561" s="3">
        <f>0+[1]táj.2!K561</f>
        <v>0</v>
      </c>
      <c r="L561" s="3">
        <f>0+[1]táj.2!L561</f>
        <v>0</v>
      </c>
      <c r="M561" s="3">
        <f>0+[1]táj.2!M561</f>
        <v>0</v>
      </c>
      <c r="N561" s="3">
        <f>1000+[1]táj.2!N561</f>
        <v>0</v>
      </c>
      <c r="O561" s="3">
        <f>0+[1]táj.2!O561</f>
        <v>0</v>
      </c>
      <c r="P561" s="3">
        <f>0+[1]táj.2!P561</f>
        <v>0</v>
      </c>
      <c r="Q561" s="7">
        <f t="shared" si="32"/>
        <v>0</v>
      </c>
    </row>
    <row r="562" spans="1:17" ht="17.25" customHeight="1" x14ac:dyDescent="0.2">
      <c r="A562" s="162"/>
      <c r="B562" s="162"/>
      <c r="C562" s="616" t="s">
        <v>1158</v>
      </c>
      <c r="D562" s="595" t="s">
        <v>1427</v>
      </c>
      <c r="E562" s="596"/>
      <c r="F562" s="627">
        <v>164930</v>
      </c>
      <c r="G562" s="3">
        <f>0+[1]táj.2!G562</f>
        <v>0</v>
      </c>
      <c r="H562" s="3">
        <f>0+[1]táj.2!H562</f>
        <v>0</v>
      </c>
      <c r="I562" s="3">
        <f>0+[1]táj.2!I562</f>
        <v>0</v>
      </c>
      <c r="J562" s="3">
        <f>0+[1]táj.2!J562</f>
        <v>0</v>
      </c>
      <c r="K562" s="3">
        <f>0+[1]táj.2!K562</f>
        <v>0</v>
      </c>
      <c r="L562" s="3">
        <f>0+[1]táj.2!L562</f>
        <v>0</v>
      </c>
      <c r="M562" s="3">
        <f>500+[1]táj.2!M562</f>
        <v>0</v>
      </c>
      <c r="N562" s="3">
        <f>0+[1]táj.2!N562</f>
        <v>0</v>
      </c>
      <c r="O562" s="3">
        <f>0+[1]táj.2!O562</f>
        <v>0</v>
      </c>
      <c r="P562" s="3">
        <f>0+[1]táj.2!P562</f>
        <v>0</v>
      </c>
      <c r="Q562" s="7">
        <f t="shared" si="32"/>
        <v>0</v>
      </c>
    </row>
    <row r="563" spans="1:17" ht="17.25" customHeight="1" x14ac:dyDescent="0.2">
      <c r="A563" s="162"/>
      <c r="B563" s="162"/>
      <c r="C563" s="616" t="s">
        <v>1159</v>
      </c>
      <c r="D563" s="702" t="s">
        <v>1160</v>
      </c>
      <c r="E563" s="596"/>
      <c r="F563" s="627">
        <v>162964</v>
      </c>
      <c r="G563" s="3">
        <f>0+[1]táj.2!G563</f>
        <v>0</v>
      </c>
      <c r="H563" s="3">
        <f>0+[1]táj.2!H563</f>
        <v>0</v>
      </c>
      <c r="I563" s="3">
        <f>0+[1]táj.2!I563</f>
        <v>909</v>
      </c>
      <c r="J563" s="3">
        <f>0+[1]táj.2!J563</f>
        <v>0</v>
      </c>
      <c r="K563" s="3">
        <f>0+[1]táj.2!K563</f>
        <v>0</v>
      </c>
      <c r="L563" s="3">
        <f>4000+[1]táj.2!L563</f>
        <v>6349</v>
      </c>
      <c r="M563" s="3">
        <f>0+[1]táj.2!M563</f>
        <v>0</v>
      </c>
      <c r="N563" s="3">
        <f>0+[1]táj.2!N563</f>
        <v>0</v>
      </c>
      <c r="O563" s="3">
        <f>0+[1]táj.2!O563</f>
        <v>0</v>
      </c>
      <c r="P563" s="3">
        <f>0+[1]táj.2!P563</f>
        <v>0</v>
      </c>
      <c r="Q563" s="7">
        <f t="shared" si="32"/>
        <v>7258</v>
      </c>
    </row>
    <row r="564" spans="1:17" ht="17.25" customHeight="1" x14ac:dyDescent="0.2">
      <c r="A564" s="162"/>
      <c r="B564" s="162"/>
      <c r="C564" s="616" t="s">
        <v>1413</v>
      </c>
      <c r="D564" s="702" t="s">
        <v>100</v>
      </c>
      <c r="E564" s="596"/>
      <c r="F564" s="627">
        <v>162965</v>
      </c>
      <c r="G564" s="3">
        <f>0+[1]táj.2!G564</f>
        <v>0</v>
      </c>
      <c r="H564" s="3">
        <f>0+[1]táj.2!H564</f>
        <v>0</v>
      </c>
      <c r="I564" s="3">
        <f>0+[1]táj.2!I564</f>
        <v>0</v>
      </c>
      <c r="J564" s="3">
        <f>0+[1]táj.2!J564</f>
        <v>0</v>
      </c>
      <c r="K564" s="3">
        <f>0+[1]táj.2!K564</f>
        <v>0</v>
      </c>
      <c r="L564" s="3">
        <f>18500+[1]táj.2!L564</f>
        <v>0</v>
      </c>
      <c r="M564" s="3">
        <f>0+[1]táj.2!M564</f>
        <v>0</v>
      </c>
      <c r="N564" s="3">
        <f>0+[1]táj.2!N564</f>
        <v>0</v>
      </c>
      <c r="O564" s="3">
        <f>0+[1]táj.2!O564</f>
        <v>0</v>
      </c>
      <c r="P564" s="3">
        <f>0+[1]táj.2!P564</f>
        <v>0</v>
      </c>
      <c r="Q564" s="7">
        <f t="shared" si="32"/>
        <v>0</v>
      </c>
    </row>
    <row r="565" spans="1:17" ht="17.25" customHeight="1" x14ac:dyDescent="0.2">
      <c r="A565" s="162"/>
      <c r="B565" s="162"/>
      <c r="C565" s="616" t="s">
        <v>1419</v>
      </c>
      <c r="D565" s="284" t="s">
        <v>1161</v>
      </c>
      <c r="E565" s="289"/>
      <c r="F565" s="187">
        <v>164929</v>
      </c>
      <c r="G565" s="3">
        <f>0+[1]táj.2!G565</f>
        <v>0</v>
      </c>
      <c r="H565" s="3">
        <f>0+[1]táj.2!H565</f>
        <v>0</v>
      </c>
      <c r="I565" s="3">
        <f>0+[1]táj.2!I565</f>
        <v>0</v>
      </c>
      <c r="J565" s="3">
        <f>0+[1]táj.2!J565</f>
        <v>0</v>
      </c>
      <c r="K565" s="3">
        <f>0+[1]táj.2!K565</f>
        <v>0</v>
      </c>
      <c r="L565" s="3">
        <f>0+[1]táj.2!L565</f>
        <v>0</v>
      </c>
      <c r="M565" s="3">
        <f>2291+[1]táj.2!M565</f>
        <v>1000</v>
      </c>
      <c r="N565" s="3">
        <f>0+[1]táj.2!N565</f>
        <v>0</v>
      </c>
      <c r="O565" s="3">
        <f>0+[1]táj.2!O565</f>
        <v>0</v>
      </c>
      <c r="P565" s="3">
        <f>0+[1]táj.2!P565</f>
        <v>0</v>
      </c>
      <c r="Q565" s="7">
        <f t="shared" si="32"/>
        <v>1000</v>
      </c>
    </row>
    <row r="566" spans="1:17" ht="23.25" customHeight="1" x14ac:dyDescent="0.2">
      <c r="A566" s="162"/>
      <c r="B566" s="162"/>
      <c r="C566" s="733" t="s">
        <v>1506</v>
      </c>
      <c r="D566" s="284" t="s">
        <v>1507</v>
      </c>
      <c r="E566" s="289"/>
      <c r="F566" s="187">
        <v>164931</v>
      </c>
      <c r="G566" s="3">
        <f>0+[1]táj.2!G566</f>
        <v>0</v>
      </c>
      <c r="H566" s="3">
        <f>0+[1]táj.2!H566</f>
        <v>0</v>
      </c>
      <c r="I566" s="3">
        <f>0+[1]táj.2!I566</f>
        <v>0</v>
      </c>
      <c r="J566" s="3">
        <f>0+[1]táj.2!J566</f>
        <v>0</v>
      </c>
      <c r="K566" s="3">
        <f>0+[1]táj.2!K566</f>
        <v>0</v>
      </c>
      <c r="L566" s="3">
        <f>0+[1]táj.2!L566</f>
        <v>0</v>
      </c>
      <c r="M566" s="3">
        <f>0+[1]táj.2!M566</f>
        <v>0</v>
      </c>
      <c r="N566" s="3">
        <f>0+[1]táj.2!N566</f>
        <v>1685</v>
      </c>
      <c r="O566" s="3">
        <f>0+[1]táj.2!O566</f>
        <v>0</v>
      </c>
      <c r="P566" s="3">
        <f>0+[1]táj.2!P566</f>
        <v>0</v>
      </c>
      <c r="Q566" s="7">
        <f t="shared" si="32"/>
        <v>1685</v>
      </c>
    </row>
    <row r="567" spans="1:17" ht="15.75" customHeight="1" x14ac:dyDescent="0.2">
      <c r="A567" s="162"/>
      <c r="B567" s="162"/>
      <c r="C567" s="612"/>
      <c r="D567" s="247" t="s">
        <v>584</v>
      </c>
      <c r="E567" s="289"/>
      <c r="F567" s="18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7"/>
    </row>
    <row r="568" spans="1:17" ht="38.25" customHeight="1" x14ac:dyDescent="0.2">
      <c r="A568" s="162"/>
      <c r="B568" s="162"/>
      <c r="C568" s="178" t="s">
        <v>1091</v>
      </c>
      <c r="D568" s="380" t="s">
        <v>1162</v>
      </c>
      <c r="E568" s="187"/>
      <c r="F568" s="187">
        <v>174902</v>
      </c>
      <c r="G568" s="3">
        <f>0+[1]táj.2!G568</f>
        <v>0</v>
      </c>
      <c r="H568" s="3">
        <f>0+[1]táj.2!H568</f>
        <v>0</v>
      </c>
      <c r="I568" s="3">
        <f>0+[1]táj.2!I568</f>
        <v>0</v>
      </c>
      <c r="J568" s="3">
        <f>0+[1]táj.2!J568</f>
        <v>0</v>
      </c>
      <c r="K568" s="3">
        <f>0+[1]táj.2!K568</f>
        <v>0</v>
      </c>
      <c r="L568" s="3">
        <f>0+[1]táj.2!L568</f>
        <v>0</v>
      </c>
      <c r="M568" s="3">
        <f>81019+[1]táj.2!M568</f>
        <v>81019</v>
      </c>
      <c r="N568" s="3">
        <f>0+[1]táj.2!N568</f>
        <v>0</v>
      </c>
      <c r="O568" s="3">
        <f>0+[1]táj.2!O568</f>
        <v>0</v>
      </c>
      <c r="P568" s="3">
        <f>0+[1]táj.2!P568</f>
        <v>0</v>
      </c>
      <c r="Q568" s="7">
        <f t="shared" ref="Q568:Q578" si="33">SUM(G568:P568)</f>
        <v>81019</v>
      </c>
    </row>
    <row r="569" spans="1:17" ht="27.75" customHeight="1" x14ac:dyDescent="0.2">
      <c r="A569" s="162"/>
      <c r="B569" s="162"/>
      <c r="C569" s="178" t="s">
        <v>1093</v>
      </c>
      <c r="D569" s="703" t="s">
        <v>1163</v>
      </c>
      <c r="E569" s="289"/>
      <c r="F569" s="187">
        <v>164914</v>
      </c>
      <c r="G569" s="3">
        <f>0+[1]táj.2!G569</f>
        <v>0</v>
      </c>
      <c r="H569" s="3">
        <f>0+[1]táj.2!H569</f>
        <v>0</v>
      </c>
      <c r="I569" s="3">
        <f>0+[1]táj.2!I569</f>
        <v>0</v>
      </c>
      <c r="J569" s="3">
        <f>0+[1]táj.2!J569</f>
        <v>0</v>
      </c>
      <c r="K569" s="3">
        <f>0+[1]táj.2!K569</f>
        <v>0</v>
      </c>
      <c r="L569" s="3">
        <f>0+[1]táj.2!L569</f>
        <v>0</v>
      </c>
      <c r="M569" s="3">
        <f>4955+[1]táj.2!M569</f>
        <v>4955</v>
      </c>
      <c r="N569" s="3">
        <f>0+[1]táj.2!N569</f>
        <v>0</v>
      </c>
      <c r="O569" s="3">
        <f>0+[1]táj.2!O569</f>
        <v>0</v>
      </c>
      <c r="P569" s="3">
        <f>0+[1]táj.2!P569</f>
        <v>0</v>
      </c>
      <c r="Q569" s="7">
        <f t="shared" si="33"/>
        <v>4955</v>
      </c>
    </row>
    <row r="570" spans="1:17" ht="18" customHeight="1" x14ac:dyDescent="0.2">
      <c r="A570" s="162"/>
      <c r="B570" s="162"/>
      <c r="C570" s="178" t="s">
        <v>1097</v>
      </c>
      <c r="D570" s="319" t="s">
        <v>1164</v>
      </c>
      <c r="E570" s="315"/>
      <c r="F570" s="187">
        <v>162942</v>
      </c>
      <c r="G570" s="3">
        <f>0+[1]táj.2!G570</f>
        <v>0</v>
      </c>
      <c r="H570" s="3">
        <f>0+[1]táj.2!H570</f>
        <v>0</v>
      </c>
      <c r="I570" s="3">
        <f>0+[1]táj.2!I570</f>
        <v>0</v>
      </c>
      <c r="J570" s="3">
        <f>0+[1]táj.2!J570</f>
        <v>0</v>
      </c>
      <c r="K570" s="3">
        <f>0+[1]táj.2!K570</f>
        <v>0</v>
      </c>
      <c r="L570" s="3">
        <f>0+[1]táj.2!L570</f>
        <v>0</v>
      </c>
      <c r="M570" s="3">
        <f>1652+[1]táj.2!M570</f>
        <v>1652</v>
      </c>
      <c r="N570" s="3">
        <f>0+[1]táj.2!N570</f>
        <v>0</v>
      </c>
      <c r="O570" s="3">
        <f>0+[1]táj.2!O570</f>
        <v>0</v>
      </c>
      <c r="P570" s="3">
        <f>0+[1]táj.2!P570</f>
        <v>0</v>
      </c>
      <c r="Q570" s="7">
        <f t="shared" si="33"/>
        <v>1652</v>
      </c>
    </row>
    <row r="571" spans="1:17" ht="20.25" customHeight="1" x14ac:dyDescent="0.2">
      <c r="A571" s="162"/>
      <c r="B571" s="162"/>
      <c r="C571" s="178" t="s">
        <v>1099</v>
      </c>
      <c r="D571" s="320" t="s">
        <v>1165</v>
      </c>
      <c r="E571" s="315"/>
      <c r="F571" s="187">
        <v>162929</v>
      </c>
      <c r="G571" s="3">
        <f>0+[1]táj.2!G571</f>
        <v>0</v>
      </c>
      <c r="H571" s="3">
        <f>0+[1]táj.2!H571</f>
        <v>0</v>
      </c>
      <c r="I571" s="3">
        <f>0+[1]táj.2!I571</f>
        <v>0</v>
      </c>
      <c r="J571" s="3">
        <f>0+[1]táj.2!J571</f>
        <v>0</v>
      </c>
      <c r="K571" s="3">
        <f>0+[1]táj.2!K571</f>
        <v>0</v>
      </c>
      <c r="L571" s="3">
        <f>0+[1]táj.2!L571</f>
        <v>0</v>
      </c>
      <c r="M571" s="3">
        <f>0+[1]táj.2!M571</f>
        <v>0</v>
      </c>
      <c r="N571" s="3">
        <f>0+[1]táj.2!N571</f>
        <v>0</v>
      </c>
      <c r="O571" s="3">
        <f>0+[1]táj.2!O571</f>
        <v>0</v>
      </c>
      <c r="P571" s="3">
        <f>0+[1]táj.2!P571</f>
        <v>0</v>
      </c>
      <c r="Q571" s="7">
        <f t="shared" si="33"/>
        <v>0</v>
      </c>
    </row>
    <row r="572" spans="1:17" ht="18.75" customHeight="1" x14ac:dyDescent="0.2">
      <c r="A572" s="162"/>
      <c r="B572" s="162"/>
      <c r="C572" s="178" t="s">
        <v>1101</v>
      </c>
      <c r="D572" s="320" t="s">
        <v>1166</v>
      </c>
      <c r="E572" s="315"/>
      <c r="F572" s="187">
        <v>162931</v>
      </c>
      <c r="G572" s="3">
        <f>0+[1]táj.2!G572</f>
        <v>0</v>
      </c>
      <c r="H572" s="3">
        <f>0+[1]táj.2!H572</f>
        <v>0</v>
      </c>
      <c r="I572" s="3">
        <f>0+[1]táj.2!I572</f>
        <v>0</v>
      </c>
      <c r="J572" s="3">
        <f>0+[1]táj.2!J572</f>
        <v>0</v>
      </c>
      <c r="K572" s="3">
        <f>0+[1]táj.2!K572</f>
        <v>0</v>
      </c>
      <c r="L572" s="3">
        <f>871+[1]táj.2!L572</f>
        <v>871</v>
      </c>
      <c r="M572" s="3">
        <f>0+[1]táj.2!M572</f>
        <v>0</v>
      </c>
      <c r="N572" s="3">
        <f>0+[1]táj.2!N572</f>
        <v>0</v>
      </c>
      <c r="O572" s="3">
        <f>0+[1]táj.2!O572</f>
        <v>0</v>
      </c>
      <c r="P572" s="3">
        <f>0+[1]táj.2!P572</f>
        <v>0</v>
      </c>
      <c r="Q572" s="7">
        <f t="shared" si="33"/>
        <v>871</v>
      </c>
    </row>
    <row r="573" spans="1:17" ht="21.75" customHeight="1" x14ac:dyDescent="0.2">
      <c r="A573" s="162"/>
      <c r="B573" s="162"/>
      <c r="C573" s="178" t="s">
        <v>1103</v>
      </c>
      <c r="D573" s="320" t="s">
        <v>1167</v>
      </c>
      <c r="E573" s="315"/>
      <c r="F573" s="187">
        <v>162903</v>
      </c>
      <c r="G573" s="3">
        <f>0+[1]táj.2!G573</f>
        <v>0</v>
      </c>
      <c r="H573" s="3">
        <f>0+[1]táj.2!H573</f>
        <v>0</v>
      </c>
      <c r="I573" s="3">
        <f>1510+[1]táj.2!I573</f>
        <v>1510</v>
      </c>
      <c r="J573" s="3">
        <f>0+[1]táj.2!J573</f>
        <v>0</v>
      </c>
      <c r="K573" s="3">
        <f>0+[1]táj.2!K573</f>
        <v>0</v>
      </c>
      <c r="L573" s="3">
        <f>1879+[1]táj.2!L573</f>
        <v>1879</v>
      </c>
      <c r="M573" s="3">
        <f>16407+[1]táj.2!M573</f>
        <v>10407</v>
      </c>
      <c r="N573" s="3">
        <f>0+[1]táj.2!N573</f>
        <v>0</v>
      </c>
      <c r="O573" s="3">
        <f>0+[1]táj.2!O573</f>
        <v>0</v>
      </c>
      <c r="P573" s="3">
        <f>0+[1]táj.2!P573</f>
        <v>0</v>
      </c>
      <c r="Q573" s="7">
        <f t="shared" si="33"/>
        <v>13796</v>
      </c>
    </row>
    <row r="574" spans="1:17" ht="28.5" customHeight="1" x14ac:dyDescent="0.2">
      <c r="A574" s="162"/>
      <c r="B574" s="162"/>
      <c r="C574" s="178" t="s">
        <v>1168</v>
      </c>
      <c r="D574" s="320" t="s">
        <v>1169</v>
      </c>
      <c r="E574" s="315"/>
      <c r="F574" s="187">
        <v>164925</v>
      </c>
      <c r="G574" s="3">
        <f>0+[1]táj.2!G574</f>
        <v>0</v>
      </c>
      <c r="H574" s="3">
        <f>0+[1]táj.2!H574</f>
        <v>0</v>
      </c>
      <c r="I574" s="3">
        <f>0+[1]táj.2!I574</f>
        <v>0</v>
      </c>
      <c r="J574" s="3">
        <f>0+[1]táj.2!J574</f>
        <v>0</v>
      </c>
      <c r="K574" s="3">
        <f>0+[1]táj.2!K574</f>
        <v>0</v>
      </c>
      <c r="L574" s="3">
        <f>0+[1]táj.2!L574</f>
        <v>0</v>
      </c>
      <c r="M574" s="3">
        <f>2016+[1]táj.2!M574</f>
        <v>2906</v>
      </c>
      <c r="N574" s="3">
        <f>0+[1]táj.2!N574</f>
        <v>0</v>
      </c>
      <c r="O574" s="3">
        <f>0+[1]táj.2!O574</f>
        <v>0</v>
      </c>
      <c r="P574" s="3">
        <f>0+[1]táj.2!P574</f>
        <v>0</v>
      </c>
      <c r="Q574" s="7">
        <f t="shared" si="33"/>
        <v>2906</v>
      </c>
    </row>
    <row r="575" spans="1:17" ht="18" customHeight="1" x14ac:dyDescent="0.2">
      <c r="A575" s="162"/>
      <c r="B575" s="162"/>
      <c r="C575" s="178" t="s">
        <v>1170</v>
      </c>
      <c r="D575" s="320" t="s">
        <v>1171</v>
      </c>
      <c r="E575" s="315"/>
      <c r="F575" s="187">
        <v>162958</v>
      </c>
      <c r="G575" s="3">
        <f>0+[1]táj.2!G575</f>
        <v>0</v>
      </c>
      <c r="H575" s="3">
        <f>0+[1]táj.2!H575</f>
        <v>0</v>
      </c>
      <c r="I575" s="3">
        <f>0+[1]táj.2!I575</f>
        <v>0</v>
      </c>
      <c r="J575" s="3">
        <f>0+[1]táj.2!J575</f>
        <v>0</v>
      </c>
      <c r="K575" s="3">
        <f>0+[1]táj.2!K575</f>
        <v>0</v>
      </c>
      <c r="L575" s="3">
        <f>2000+[1]táj.2!L575</f>
        <v>2000</v>
      </c>
      <c r="M575" s="3">
        <f>0+[1]táj.2!M575</f>
        <v>0</v>
      </c>
      <c r="N575" s="3">
        <f>0+[1]táj.2!N575</f>
        <v>0</v>
      </c>
      <c r="O575" s="3">
        <f>0+[1]táj.2!O575</f>
        <v>0</v>
      </c>
      <c r="P575" s="3">
        <f>0+[1]táj.2!P575</f>
        <v>0</v>
      </c>
      <c r="Q575" s="7">
        <f t="shared" si="33"/>
        <v>2000</v>
      </c>
    </row>
    <row r="576" spans="1:17" ht="18.75" customHeight="1" x14ac:dyDescent="0.2">
      <c r="A576" s="162"/>
      <c r="B576" s="162"/>
      <c r="C576" s="178" t="s">
        <v>1172</v>
      </c>
      <c r="D576" s="320" t="s">
        <v>1173</v>
      </c>
      <c r="E576" s="315"/>
      <c r="F576" s="187">
        <v>162959</v>
      </c>
      <c r="G576" s="3">
        <f>0+[1]táj.2!G576</f>
        <v>0</v>
      </c>
      <c r="H576" s="3">
        <f>0+[1]táj.2!H576</f>
        <v>0</v>
      </c>
      <c r="I576" s="3">
        <f>139+[1]táj.2!I576</f>
        <v>139</v>
      </c>
      <c r="J576" s="3">
        <f>0+[1]táj.2!J576</f>
        <v>0</v>
      </c>
      <c r="K576" s="3">
        <f>0+[1]táj.2!K576</f>
        <v>0</v>
      </c>
      <c r="L576" s="3">
        <f>5320+[1]táj.2!L576</f>
        <v>5320</v>
      </c>
      <c r="M576" s="3">
        <f>0+[1]táj.2!M576</f>
        <v>0</v>
      </c>
      <c r="N576" s="3">
        <f>0+[1]táj.2!N576</f>
        <v>0</v>
      </c>
      <c r="O576" s="3">
        <f>0+[1]táj.2!O576</f>
        <v>0</v>
      </c>
      <c r="P576" s="3">
        <f>0+[1]táj.2!P576</f>
        <v>0</v>
      </c>
      <c r="Q576" s="7">
        <f t="shared" si="33"/>
        <v>5459</v>
      </c>
    </row>
    <row r="577" spans="1:17" ht="29.25" customHeight="1" x14ac:dyDescent="0.2">
      <c r="A577" s="162"/>
      <c r="B577" s="162"/>
      <c r="C577" s="178" t="s">
        <v>1174</v>
      </c>
      <c r="D577" s="141" t="s">
        <v>1175</v>
      </c>
      <c r="E577" s="9"/>
      <c r="F577" s="187">
        <v>182906</v>
      </c>
      <c r="G577" s="3">
        <f>0+[1]táj.2!G577</f>
        <v>0</v>
      </c>
      <c r="H577" s="3">
        <f>0+[1]táj.2!H577</f>
        <v>0</v>
      </c>
      <c r="I577" s="3">
        <f>100+[1]táj.2!I577</f>
        <v>100</v>
      </c>
      <c r="J577" s="3">
        <f>0+[1]táj.2!J577</f>
        <v>0</v>
      </c>
      <c r="K577" s="3">
        <f>0+[1]táj.2!K577</f>
        <v>0</v>
      </c>
      <c r="L577" s="3">
        <f>29860+[1]táj.2!L577</f>
        <v>29860</v>
      </c>
      <c r="M577" s="3">
        <f>0+[1]táj.2!M577</f>
        <v>0</v>
      </c>
      <c r="N577" s="3">
        <f>0+[1]táj.2!N577</f>
        <v>0</v>
      </c>
      <c r="O577" s="3">
        <f>0+[1]táj.2!O577</f>
        <v>0</v>
      </c>
      <c r="P577" s="3">
        <f>0+[1]táj.2!P577</f>
        <v>0</v>
      </c>
      <c r="Q577" s="7">
        <f t="shared" si="33"/>
        <v>29960</v>
      </c>
    </row>
    <row r="578" spans="1:17" ht="20.25" customHeight="1" x14ac:dyDescent="0.2">
      <c r="A578" s="162"/>
      <c r="B578" s="162"/>
      <c r="C578" s="178" t="s">
        <v>99</v>
      </c>
      <c r="D578" s="139" t="s">
        <v>1092</v>
      </c>
      <c r="E578" s="187"/>
      <c r="F578" s="187">
        <v>134964</v>
      </c>
      <c r="G578" s="3">
        <f>0+[1]táj.2!G578</f>
        <v>0</v>
      </c>
      <c r="H578" s="3">
        <f>0+[1]táj.2!H578</f>
        <v>0</v>
      </c>
      <c r="I578" s="3">
        <f>0+[1]táj.2!I578</f>
        <v>0</v>
      </c>
      <c r="J578" s="3">
        <f>0+[1]táj.2!J578</f>
        <v>0</v>
      </c>
      <c r="K578" s="3">
        <f>0+[1]táj.2!K578</f>
        <v>0</v>
      </c>
      <c r="L578" s="3">
        <f>0+[1]táj.2!L578</f>
        <v>0</v>
      </c>
      <c r="M578" s="3">
        <f>904+[1]táj.2!M578</f>
        <v>904</v>
      </c>
      <c r="N578" s="3">
        <f>0+[1]táj.2!N578</f>
        <v>0</v>
      </c>
      <c r="O578" s="3">
        <f>0+[1]táj.2!O578</f>
        <v>0</v>
      </c>
      <c r="P578" s="3">
        <f>0+[1]táj.2!P578</f>
        <v>0</v>
      </c>
      <c r="Q578" s="7">
        <f t="shared" si="33"/>
        <v>904</v>
      </c>
    </row>
    <row r="579" spans="1:17" ht="16.5" customHeight="1" x14ac:dyDescent="0.2">
      <c r="A579" s="162"/>
      <c r="B579" s="162"/>
      <c r="C579" s="178" t="s">
        <v>151</v>
      </c>
      <c r="D579" s="241" t="s">
        <v>1176</v>
      </c>
      <c r="E579" s="289"/>
      <c r="F579" s="18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7"/>
    </row>
    <row r="580" spans="1:17" ht="16.5" customHeight="1" x14ac:dyDescent="0.2">
      <c r="A580" s="162"/>
      <c r="B580" s="162"/>
      <c r="C580" s="239" t="s">
        <v>1177</v>
      </c>
      <c r="D580" s="251" t="s">
        <v>1178</v>
      </c>
      <c r="E580" s="289"/>
      <c r="F580" s="18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7"/>
    </row>
    <row r="581" spans="1:17" ht="16.5" customHeight="1" x14ac:dyDescent="0.2">
      <c r="A581" s="162"/>
      <c r="B581" s="162"/>
      <c r="C581" s="239"/>
      <c r="D581" s="247" t="s">
        <v>584</v>
      </c>
      <c r="E581" s="289"/>
      <c r="F581" s="18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7"/>
    </row>
    <row r="582" spans="1:17" ht="29.25" customHeight="1" x14ac:dyDescent="0.2">
      <c r="A582" s="162"/>
      <c r="B582" s="162"/>
      <c r="C582" s="254" t="s">
        <v>1179</v>
      </c>
      <c r="D582" s="620" t="s">
        <v>1180</v>
      </c>
      <c r="E582" s="289"/>
      <c r="F582" s="187">
        <v>163601</v>
      </c>
      <c r="G582" s="3">
        <f>1990+[1]táj.2!G582</f>
        <v>1990</v>
      </c>
      <c r="H582" s="3">
        <f>442+[1]táj.2!H582</f>
        <v>442</v>
      </c>
      <c r="I582" s="3">
        <f>165+[1]táj.2!I582</f>
        <v>165</v>
      </c>
      <c r="J582" s="3">
        <f>0+[1]táj.2!J582</f>
        <v>0</v>
      </c>
      <c r="K582" s="3">
        <f>0+[1]táj.2!K582</f>
        <v>0</v>
      </c>
      <c r="L582" s="3">
        <f>0+[1]táj.2!L582</f>
        <v>0</v>
      </c>
      <c r="M582" s="3">
        <f>0+[1]táj.2!M582</f>
        <v>0</v>
      </c>
      <c r="N582" s="3">
        <f>0+[1]táj.2!N582</f>
        <v>0</v>
      </c>
      <c r="O582" s="3">
        <f>0+[1]táj.2!O582</f>
        <v>0</v>
      </c>
      <c r="P582" s="3">
        <f>0+[1]táj.2!P582</f>
        <v>0</v>
      </c>
      <c r="Q582" s="7">
        <f t="shared" ref="Q582:Q610" si="34">SUM(G582:P582)</f>
        <v>2597</v>
      </c>
    </row>
    <row r="583" spans="1:17" ht="37.5" customHeight="1" x14ac:dyDescent="0.2">
      <c r="A583" s="162"/>
      <c r="B583" s="162"/>
      <c r="C583" s="254" t="s">
        <v>1181</v>
      </c>
      <c r="D583" s="620" t="s">
        <v>295</v>
      </c>
      <c r="E583" s="289"/>
      <c r="F583" s="187">
        <v>163603</v>
      </c>
      <c r="G583" s="3">
        <f>4618+[1]táj.2!G583</f>
        <v>4618</v>
      </c>
      <c r="H583" s="3">
        <f>982+[1]táj.2!H583</f>
        <v>982</v>
      </c>
      <c r="I583" s="3">
        <f>212+[1]táj.2!I583</f>
        <v>212</v>
      </c>
      <c r="J583" s="3">
        <f>0+[1]táj.2!J583</f>
        <v>0</v>
      </c>
      <c r="K583" s="3">
        <f>0+[1]táj.2!K583</f>
        <v>0</v>
      </c>
      <c r="L583" s="3">
        <f>1265+[1]táj.2!L583</f>
        <v>1265</v>
      </c>
      <c r="M583" s="3">
        <f>3036+[1]táj.2!M583</f>
        <v>3036</v>
      </c>
      <c r="N583" s="3">
        <f>0+[1]táj.2!N583</f>
        <v>0</v>
      </c>
      <c r="O583" s="3">
        <f>0+[1]táj.2!O583</f>
        <v>0</v>
      </c>
      <c r="P583" s="3">
        <f>0+[1]táj.2!P583</f>
        <v>0</v>
      </c>
      <c r="Q583" s="7">
        <f t="shared" si="34"/>
        <v>10113</v>
      </c>
    </row>
    <row r="584" spans="1:17" ht="28.5" customHeight="1" x14ac:dyDescent="0.2">
      <c r="A584" s="162"/>
      <c r="B584" s="162"/>
      <c r="C584" s="254" t="s">
        <v>1182</v>
      </c>
      <c r="D584" s="621" t="s">
        <v>294</v>
      </c>
      <c r="E584" s="289"/>
      <c r="F584" s="187">
        <v>163604</v>
      </c>
      <c r="G584" s="3">
        <f>2896+[1]táj.2!G584</f>
        <v>2896</v>
      </c>
      <c r="H584" s="3">
        <f>604+[1]táj.2!H584</f>
        <v>604</v>
      </c>
      <c r="I584" s="3">
        <f>14+[1]táj.2!I584</f>
        <v>14</v>
      </c>
      <c r="J584" s="3">
        <f>0+[1]táj.2!J584</f>
        <v>0</v>
      </c>
      <c r="K584" s="3">
        <f>0+[1]táj.2!K584</f>
        <v>0</v>
      </c>
      <c r="L584" s="3">
        <f>0+[1]táj.2!L584</f>
        <v>0</v>
      </c>
      <c r="M584" s="3">
        <f>592+[1]táj.2!M584</f>
        <v>592</v>
      </c>
      <c r="N584" s="3">
        <f>0+[1]táj.2!N584</f>
        <v>0</v>
      </c>
      <c r="O584" s="3">
        <f>0+[1]táj.2!O584</f>
        <v>0</v>
      </c>
      <c r="P584" s="3">
        <f>0+[1]táj.2!P584</f>
        <v>0</v>
      </c>
      <c r="Q584" s="7">
        <f t="shared" si="34"/>
        <v>4106</v>
      </c>
    </row>
    <row r="585" spans="1:17" ht="27" customHeight="1" x14ac:dyDescent="0.2">
      <c r="A585" s="162"/>
      <c r="B585" s="162"/>
      <c r="C585" s="254" t="s">
        <v>1183</v>
      </c>
      <c r="D585" s="621" t="s">
        <v>296</v>
      </c>
      <c r="E585" s="289"/>
      <c r="F585" s="187">
        <v>163606</v>
      </c>
      <c r="G585" s="3">
        <f>2393+[1]táj.2!G585</f>
        <v>2393</v>
      </c>
      <c r="H585" s="3">
        <f>647+[1]táj.2!H585</f>
        <v>647</v>
      </c>
      <c r="I585" s="3">
        <f>30246+[1]táj.2!I585</f>
        <v>24146</v>
      </c>
      <c r="J585" s="3">
        <f>0+[1]táj.2!J585</f>
        <v>0</v>
      </c>
      <c r="K585" s="3">
        <f>0+[1]táj.2!K585</f>
        <v>0</v>
      </c>
      <c r="L585" s="3">
        <f>42037+[1]táj.2!L585</f>
        <v>48137</v>
      </c>
      <c r="M585" s="3">
        <f>70811+[1]táj.2!M585</f>
        <v>70811</v>
      </c>
      <c r="N585" s="3">
        <f>0+[1]táj.2!N585</f>
        <v>0</v>
      </c>
      <c r="O585" s="3">
        <f>0+[1]táj.2!O585</f>
        <v>0</v>
      </c>
      <c r="P585" s="3">
        <f>0+[1]táj.2!P585</f>
        <v>0</v>
      </c>
      <c r="Q585" s="7">
        <f t="shared" si="34"/>
        <v>146134</v>
      </c>
    </row>
    <row r="586" spans="1:17" ht="67.5" customHeight="1" x14ac:dyDescent="0.2">
      <c r="A586" s="162"/>
      <c r="B586" s="162"/>
      <c r="C586" s="254" t="s">
        <v>1184</v>
      </c>
      <c r="D586" s="620" t="s">
        <v>300</v>
      </c>
      <c r="E586" s="289"/>
      <c r="F586" s="187">
        <v>163607</v>
      </c>
      <c r="G586" s="3">
        <f>0+[1]táj.2!G586</f>
        <v>0</v>
      </c>
      <c r="H586" s="3">
        <f>0+[1]táj.2!H586</f>
        <v>0</v>
      </c>
      <c r="I586" s="3">
        <f>42550+[1]táj.2!I586</f>
        <v>42550</v>
      </c>
      <c r="J586" s="3">
        <f>0+[1]táj.2!J586</f>
        <v>0</v>
      </c>
      <c r="K586" s="3">
        <f>0+[1]táj.2!K586</f>
        <v>0</v>
      </c>
      <c r="L586" s="3">
        <f>906292+[1]táj.2!L586</f>
        <v>906292</v>
      </c>
      <c r="M586" s="3">
        <f>0+[1]táj.2!M586</f>
        <v>0</v>
      </c>
      <c r="N586" s="3">
        <f>0+[1]táj.2!N586</f>
        <v>0</v>
      </c>
      <c r="O586" s="3">
        <f>0+[1]táj.2!O586</f>
        <v>0</v>
      </c>
      <c r="P586" s="3">
        <f>0+[1]táj.2!P586</f>
        <v>0</v>
      </c>
      <c r="Q586" s="7">
        <f t="shared" si="34"/>
        <v>948842</v>
      </c>
    </row>
    <row r="587" spans="1:17" ht="40.5" customHeight="1" x14ac:dyDescent="0.2">
      <c r="A587" s="162"/>
      <c r="B587" s="162"/>
      <c r="C587" s="254" t="s">
        <v>1185</v>
      </c>
      <c r="D587" s="620" t="s">
        <v>290</v>
      </c>
      <c r="E587" s="289"/>
      <c r="F587" s="187">
        <v>163608</v>
      </c>
      <c r="G587" s="3">
        <f>5948+[1]táj.2!G587</f>
        <v>5948</v>
      </c>
      <c r="H587" s="3">
        <f>1556+[1]táj.2!H587</f>
        <v>1556</v>
      </c>
      <c r="I587" s="3">
        <f>129466+[1]táj.2!I587</f>
        <v>129466</v>
      </c>
      <c r="J587" s="3">
        <f>0+[1]táj.2!J587</f>
        <v>0</v>
      </c>
      <c r="K587" s="3">
        <f>0+[1]táj.2!K587</f>
        <v>0</v>
      </c>
      <c r="L587" s="3">
        <f>351356+[1]táj.2!L587</f>
        <v>351356</v>
      </c>
      <c r="M587" s="3">
        <f>0+[1]táj.2!M587</f>
        <v>0</v>
      </c>
      <c r="N587" s="3">
        <f>0+[1]táj.2!N587</f>
        <v>0</v>
      </c>
      <c r="O587" s="3">
        <f>0+[1]táj.2!O587</f>
        <v>0</v>
      </c>
      <c r="P587" s="3">
        <f>0+[1]táj.2!P587</f>
        <v>0</v>
      </c>
      <c r="Q587" s="7">
        <f t="shared" si="34"/>
        <v>488326</v>
      </c>
    </row>
    <row r="588" spans="1:17" ht="24.75" customHeight="1" x14ac:dyDescent="0.2">
      <c r="A588" s="162"/>
      <c r="B588" s="162"/>
      <c r="C588" s="254" t="s">
        <v>1186</v>
      </c>
      <c r="D588" s="620" t="s">
        <v>303</v>
      </c>
      <c r="E588" s="289"/>
      <c r="F588" s="187">
        <v>163609</v>
      </c>
      <c r="G588" s="3">
        <f>0+[1]táj.2!G588</f>
        <v>0</v>
      </c>
      <c r="H588" s="3">
        <f>0+[1]táj.2!H588</f>
        <v>0</v>
      </c>
      <c r="I588" s="3">
        <f>42617+[1]táj.2!I588</f>
        <v>42617</v>
      </c>
      <c r="J588" s="3">
        <f>0+[1]táj.2!J588</f>
        <v>0</v>
      </c>
      <c r="K588" s="3">
        <f>0+[1]táj.2!K588</f>
        <v>0</v>
      </c>
      <c r="L588" s="3">
        <f>348299+[1]táj.2!L588</f>
        <v>348299</v>
      </c>
      <c r="M588" s="3">
        <f>0+[1]táj.2!M588</f>
        <v>0</v>
      </c>
      <c r="N588" s="3">
        <f>0+[1]táj.2!N588</f>
        <v>0</v>
      </c>
      <c r="O588" s="3">
        <f>0+[1]táj.2!O588</f>
        <v>0</v>
      </c>
      <c r="P588" s="3">
        <f>0+[1]táj.2!P588</f>
        <v>0</v>
      </c>
      <c r="Q588" s="7">
        <f t="shared" si="34"/>
        <v>390916</v>
      </c>
    </row>
    <row r="589" spans="1:17" ht="41.25" customHeight="1" x14ac:dyDescent="0.2">
      <c r="A589" s="162"/>
      <c r="B589" s="162"/>
      <c r="C589" s="254" t="s">
        <v>1187</v>
      </c>
      <c r="D589" s="622" t="s">
        <v>297</v>
      </c>
      <c r="E589" s="289"/>
      <c r="F589" s="187">
        <v>163611</v>
      </c>
      <c r="G589" s="3">
        <f>2000+[1]táj.2!G589</f>
        <v>2000</v>
      </c>
      <c r="H589" s="3">
        <f>540+[1]táj.2!H589</f>
        <v>540</v>
      </c>
      <c r="I589" s="3">
        <f>8171+[1]táj.2!I589</f>
        <v>8171</v>
      </c>
      <c r="J589" s="3">
        <f>0+[1]táj.2!J589</f>
        <v>0</v>
      </c>
      <c r="K589" s="3">
        <f>0+[1]táj.2!K589</f>
        <v>0</v>
      </c>
      <c r="L589" s="3">
        <f>348279+[1]táj.2!L589</f>
        <v>348279</v>
      </c>
      <c r="M589" s="3">
        <f>6350+[1]táj.2!M589</f>
        <v>6350</v>
      </c>
      <c r="N589" s="3">
        <f>0+[1]táj.2!N589</f>
        <v>0</v>
      </c>
      <c r="O589" s="3">
        <f>0+[1]táj.2!O589</f>
        <v>0</v>
      </c>
      <c r="P589" s="3">
        <f>0+[1]táj.2!P589</f>
        <v>0</v>
      </c>
      <c r="Q589" s="7">
        <f t="shared" si="34"/>
        <v>365340</v>
      </c>
    </row>
    <row r="590" spans="1:17" ht="38.25" customHeight="1" x14ac:dyDescent="0.2">
      <c r="A590" s="162"/>
      <c r="B590" s="162"/>
      <c r="C590" s="254" t="s">
        <v>1188</v>
      </c>
      <c r="D590" s="623" t="s">
        <v>250</v>
      </c>
      <c r="E590" s="289"/>
      <c r="F590" s="187">
        <v>163612</v>
      </c>
      <c r="G590" s="3">
        <f>0+[1]táj.2!G590</f>
        <v>0</v>
      </c>
      <c r="H590" s="3">
        <f>0+[1]táj.2!H590</f>
        <v>0</v>
      </c>
      <c r="I590" s="3">
        <f>148422+[1]táj.2!I590</f>
        <v>148422</v>
      </c>
      <c r="J590" s="3">
        <f>0+[1]táj.2!J590</f>
        <v>0</v>
      </c>
      <c r="K590" s="3">
        <f>0+[1]táj.2!K590</f>
        <v>0</v>
      </c>
      <c r="L590" s="3">
        <f>332689+[1]táj.2!L590</f>
        <v>332689</v>
      </c>
      <c r="M590" s="3">
        <f>0+[1]táj.2!M590</f>
        <v>0</v>
      </c>
      <c r="N590" s="3">
        <f>0+[1]táj.2!N590</f>
        <v>0</v>
      </c>
      <c r="O590" s="3">
        <f>0+[1]táj.2!O590</f>
        <v>0</v>
      </c>
      <c r="P590" s="3">
        <f>0+[1]táj.2!P590</f>
        <v>0</v>
      </c>
      <c r="Q590" s="7">
        <f t="shared" si="34"/>
        <v>481111</v>
      </c>
    </row>
    <row r="591" spans="1:17" ht="41.25" customHeight="1" x14ac:dyDescent="0.2">
      <c r="A591" s="162"/>
      <c r="B591" s="162"/>
      <c r="C591" s="254" t="s">
        <v>1189</v>
      </c>
      <c r="D591" s="623" t="s">
        <v>1190</v>
      </c>
      <c r="E591" s="289"/>
      <c r="F591" s="187">
        <v>163613</v>
      </c>
      <c r="G591" s="3">
        <f>0+[1]táj.2!G591</f>
        <v>0</v>
      </c>
      <c r="H591" s="3">
        <f>0+[1]táj.2!H591</f>
        <v>0</v>
      </c>
      <c r="I591" s="3">
        <f>74333+[1]táj.2!I591</f>
        <v>74333</v>
      </c>
      <c r="J591" s="3">
        <f>0+[1]táj.2!J591</f>
        <v>0</v>
      </c>
      <c r="K591" s="3">
        <f>0+[1]táj.2!K591</f>
        <v>0</v>
      </c>
      <c r="L591" s="3">
        <f>151627+[1]táj.2!L591</f>
        <v>151627</v>
      </c>
      <c r="M591" s="3">
        <f>0+[1]táj.2!M591</f>
        <v>0</v>
      </c>
      <c r="N591" s="3">
        <f>0+[1]táj.2!N591</f>
        <v>0</v>
      </c>
      <c r="O591" s="3">
        <f>0+[1]táj.2!O591</f>
        <v>0</v>
      </c>
      <c r="P591" s="3">
        <f>0+[1]táj.2!P591</f>
        <v>0</v>
      </c>
      <c r="Q591" s="7">
        <f t="shared" si="34"/>
        <v>225960</v>
      </c>
    </row>
    <row r="592" spans="1:17" ht="40.5" customHeight="1" x14ac:dyDescent="0.2">
      <c r="A592" s="162"/>
      <c r="B592" s="162"/>
      <c r="C592" s="254" t="s">
        <v>1191</v>
      </c>
      <c r="D592" s="623" t="s">
        <v>291</v>
      </c>
      <c r="E592" s="289"/>
      <c r="F592" s="187">
        <v>163614</v>
      </c>
      <c r="G592" s="3">
        <f>1000+[1]táj.2!G592</f>
        <v>1000</v>
      </c>
      <c r="H592" s="3">
        <f>270+[1]táj.2!H592</f>
        <v>270</v>
      </c>
      <c r="I592" s="3">
        <f>8340+[1]táj.2!I592</f>
        <v>8340</v>
      </c>
      <c r="J592" s="3">
        <f>0+[1]táj.2!J592</f>
        <v>0</v>
      </c>
      <c r="K592" s="3">
        <f>0+[1]táj.2!K592</f>
        <v>0</v>
      </c>
      <c r="L592" s="3">
        <f>78838+[1]táj.2!L592</f>
        <v>78838</v>
      </c>
      <c r="M592" s="3">
        <f>0+[1]táj.2!M592</f>
        <v>0</v>
      </c>
      <c r="N592" s="3">
        <f>0+[1]táj.2!N592</f>
        <v>0</v>
      </c>
      <c r="O592" s="3">
        <f>0+[1]táj.2!O592</f>
        <v>0</v>
      </c>
      <c r="P592" s="3">
        <f>0+[1]táj.2!P592</f>
        <v>0</v>
      </c>
      <c r="Q592" s="7">
        <f t="shared" si="34"/>
        <v>88448</v>
      </c>
    </row>
    <row r="593" spans="1:17" ht="51.75" customHeight="1" x14ac:dyDescent="0.2">
      <c r="A593" s="162"/>
      <c r="B593" s="162"/>
      <c r="C593" s="254" t="s">
        <v>1192</v>
      </c>
      <c r="D593" s="623" t="s">
        <v>302</v>
      </c>
      <c r="E593" s="289"/>
      <c r="F593" s="187">
        <v>163615</v>
      </c>
      <c r="G593" s="3">
        <f>0+[1]táj.2!G593</f>
        <v>0</v>
      </c>
      <c r="H593" s="3">
        <f>0+[1]táj.2!H593</f>
        <v>0</v>
      </c>
      <c r="I593" s="3">
        <f>8987+[1]táj.2!I593</f>
        <v>8987</v>
      </c>
      <c r="J593" s="3">
        <f>0+[1]táj.2!J593</f>
        <v>0</v>
      </c>
      <c r="K593" s="3">
        <f>0+[1]táj.2!K593</f>
        <v>0</v>
      </c>
      <c r="L593" s="3">
        <f>0+[1]táj.2!L593</f>
        <v>0</v>
      </c>
      <c r="M593" s="3">
        <f>0+[1]táj.2!M593</f>
        <v>0</v>
      </c>
      <c r="N593" s="3">
        <f>0+[1]táj.2!N593</f>
        <v>0</v>
      </c>
      <c r="O593" s="3">
        <f>0+[1]táj.2!O593</f>
        <v>0</v>
      </c>
      <c r="P593" s="3">
        <f>0+[1]táj.2!P593</f>
        <v>0</v>
      </c>
      <c r="Q593" s="7">
        <f t="shared" si="34"/>
        <v>8987</v>
      </c>
    </row>
    <row r="594" spans="1:17" ht="28.5" customHeight="1" x14ac:dyDescent="0.2">
      <c r="A594" s="162"/>
      <c r="B594" s="162"/>
      <c r="C594" s="254" t="s">
        <v>1193</v>
      </c>
      <c r="D594" s="623" t="s">
        <v>298</v>
      </c>
      <c r="E594" s="289"/>
      <c r="F594" s="187">
        <v>163616</v>
      </c>
      <c r="G594" s="3">
        <f>2000+[1]táj.2!G594</f>
        <v>2000</v>
      </c>
      <c r="H594" s="3">
        <f>540+[1]táj.2!H594</f>
        <v>540</v>
      </c>
      <c r="I594" s="3">
        <f>14934+[1]táj.2!I594</f>
        <v>14934</v>
      </c>
      <c r="J594" s="3">
        <f>0+[1]táj.2!J594</f>
        <v>0</v>
      </c>
      <c r="K594" s="3">
        <f>0+[1]táj.2!K594</f>
        <v>0</v>
      </c>
      <c r="L594" s="3">
        <f>13825+[1]táj.2!L594</f>
        <v>13825</v>
      </c>
      <c r="M594" s="3">
        <f>0+[1]táj.2!M594</f>
        <v>0</v>
      </c>
      <c r="N594" s="3">
        <f>0+[1]táj.2!N594</f>
        <v>0</v>
      </c>
      <c r="O594" s="3">
        <f>0+[1]táj.2!O594</f>
        <v>0</v>
      </c>
      <c r="P594" s="3">
        <f>0+[1]táj.2!P594</f>
        <v>0</v>
      </c>
      <c r="Q594" s="7">
        <f t="shared" si="34"/>
        <v>31299</v>
      </c>
    </row>
    <row r="595" spans="1:17" ht="52.5" customHeight="1" x14ac:dyDescent="0.2">
      <c r="A595" s="162"/>
      <c r="B595" s="162"/>
      <c r="C595" s="254" t="s">
        <v>1194</v>
      </c>
      <c r="D595" s="623" t="s">
        <v>299</v>
      </c>
      <c r="E595" s="289"/>
      <c r="F595" s="187">
        <v>163617</v>
      </c>
      <c r="G595" s="3">
        <f>900+[1]táj.2!G595</f>
        <v>900</v>
      </c>
      <c r="H595" s="3">
        <f>199+[1]táj.2!H595</f>
        <v>199</v>
      </c>
      <c r="I595" s="3">
        <f>0+[1]táj.2!I595</f>
        <v>0</v>
      </c>
      <c r="J595" s="3">
        <f>0+[1]táj.2!J595</f>
        <v>0</v>
      </c>
      <c r="K595" s="3">
        <f>0+[1]táj.2!K595</f>
        <v>0</v>
      </c>
      <c r="L595" s="3">
        <f>0+[1]táj.2!L595</f>
        <v>0</v>
      </c>
      <c r="M595" s="3">
        <f>0+[1]táj.2!M595</f>
        <v>0</v>
      </c>
      <c r="N595" s="3">
        <f>0+[1]táj.2!N595</f>
        <v>0</v>
      </c>
      <c r="O595" s="3">
        <f>0+[1]táj.2!O595</f>
        <v>0</v>
      </c>
      <c r="P595" s="3">
        <f>0+[1]táj.2!P595</f>
        <v>0</v>
      </c>
      <c r="Q595" s="7">
        <f t="shared" si="34"/>
        <v>1099</v>
      </c>
    </row>
    <row r="596" spans="1:17" ht="44.25" customHeight="1" x14ac:dyDescent="0.2">
      <c r="A596" s="162"/>
      <c r="B596" s="162"/>
      <c r="C596" s="254" t="s">
        <v>1195</v>
      </c>
      <c r="D596" s="623" t="s">
        <v>293</v>
      </c>
      <c r="E596" s="289"/>
      <c r="F596" s="187">
        <v>163622</v>
      </c>
      <c r="G596" s="3">
        <f>2431+[1]táj.2!G596</f>
        <v>2431</v>
      </c>
      <c r="H596" s="3">
        <f>477+[1]táj.2!H596</f>
        <v>477</v>
      </c>
      <c r="I596" s="3">
        <f>0+[1]táj.2!I596</f>
        <v>0</v>
      </c>
      <c r="J596" s="3">
        <f>0+[1]táj.2!J596</f>
        <v>0</v>
      </c>
      <c r="K596" s="3">
        <f>0+[1]táj.2!K596</f>
        <v>0</v>
      </c>
      <c r="L596" s="3">
        <f>0+[1]táj.2!L596</f>
        <v>0</v>
      </c>
      <c r="M596" s="3">
        <f>0+[1]táj.2!M596</f>
        <v>0</v>
      </c>
      <c r="N596" s="3">
        <f>0+[1]táj.2!N596</f>
        <v>0</v>
      </c>
      <c r="O596" s="3">
        <f>0+[1]táj.2!O596</f>
        <v>0</v>
      </c>
      <c r="P596" s="3">
        <f>0+[1]táj.2!P596</f>
        <v>0</v>
      </c>
      <c r="Q596" s="7">
        <f t="shared" si="34"/>
        <v>2908</v>
      </c>
    </row>
    <row r="597" spans="1:17" ht="24" customHeight="1" x14ac:dyDescent="0.2">
      <c r="A597" s="162"/>
      <c r="B597" s="162"/>
      <c r="C597" s="254" t="s">
        <v>1196</v>
      </c>
      <c r="D597" s="623" t="s">
        <v>292</v>
      </c>
      <c r="E597" s="289"/>
      <c r="F597" s="187">
        <v>163623</v>
      </c>
      <c r="G597" s="3">
        <f>2431+[1]táj.2!G597</f>
        <v>2431</v>
      </c>
      <c r="H597" s="3">
        <f>477+[1]táj.2!H597</f>
        <v>477</v>
      </c>
      <c r="I597" s="3">
        <f>100+[1]táj.2!I597</f>
        <v>100</v>
      </c>
      <c r="J597" s="3">
        <f>0+[1]táj.2!J597</f>
        <v>0</v>
      </c>
      <c r="K597" s="3">
        <f>0+[1]táj.2!K597</f>
        <v>0</v>
      </c>
      <c r="L597" s="3">
        <f>0+[1]táj.2!L597</f>
        <v>0</v>
      </c>
      <c r="M597" s="3">
        <f>0+[1]táj.2!M597</f>
        <v>0</v>
      </c>
      <c r="N597" s="3">
        <f>0+[1]táj.2!N597</f>
        <v>0</v>
      </c>
      <c r="O597" s="3">
        <f>0+[1]táj.2!O597</f>
        <v>0</v>
      </c>
      <c r="P597" s="3">
        <f>0+[1]táj.2!P597</f>
        <v>0</v>
      </c>
      <c r="Q597" s="7">
        <f t="shared" si="34"/>
        <v>3008</v>
      </c>
    </row>
    <row r="598" spans="1:17" ht="24.75" customHeight="1" x14ac:dyDescent="0.2">
      <c r="A598" s="162"/>
      <c r="B598" s="162"/>
      <c r="C598" s="254" t="s">
        <v>1197</v>
      </c>
      <c r="D598" s="141" t="s">
        <v>275</v>
      </c>
      <c r="E598" s="289"/>
      <c r="F598" s="187">
        <v>163625</v>
      </c>
      <c r="G598" s="3">
        <f>0+[1]táj.2!G598</f>
        <v>0</v>
      </c>
      <c r="H598" s="3">
        <f>0+[1]táj.2!H598</f>
        <v>0</v>
      </c>
      <c r="I598" s="3">
        <f>87000+[1]táj.2!I598</f>
        <v>87000</v>
      </c>
      <c r="J598" s="3">
        <f>0+[1]táj.2!J598</f>
        <v>0</v>
      </c>
      <c r="K598" s="3">
        <f>0+[1]táj.2!K598</f>
        <v>0</v>
      </c>
      <c r="L598" s="3">
        <f>1001000+[1]táj.2!L598</f>
        <v>1001000</v>
      </c>
      <c r="M598" s="3">
        <f>0+[1]táj.2!M598</f>
        <v>0</v>
      </c>
      <c r="N598" s="3">
        <f>0+[1]táj.2!N598</f>
        <v>0</v>
      </c>
      <c r="O598" s="3">
        <f>0+[1]táj.2!O598</f>
        <v>0</v>
      </c>
      <c r="P598" s="3">
        <f>0+[1]táj.2!P598</f>
        <v>0</v>
      </c>
      <c r="Q598" s="7">
        <f t="shared" si="34"/>
        <v>1088000</v>
      </c>
    </row>
    <row r="599" spans="1:17" ht="24.75" customHeight="1" x14ac:dyDescent="0.2">
      <c r="A599" s="162"/>
      <c r="B599" s="162"/>
      <c r="C599" s="254" t="s">
        <v>1198</v>
      </c>
      <c r="D599" s="137" t="s">
        <v>277</v>
      </c>
      <c r="E599" s="289"/>
      <c r="F599" s="187">
        <v>163626</v>
      </c>
      <c r="G599" s="3">
        <f>0+[1]táj.2!G599</f>
        <v>0</v>
      </c>
      <c r="H599" s="3">
        <f>0+[1]táj.2!H599</f>
        <v>0</v>
      </c>
      <c r="I599" s="3">
        <f>62864+[1]táj.2!I599</f>
        <v>62864</v>
      </c>
      <c r="J599" s="3">
        <f>0+[1]táj.2!J599</f>
        <v>0</v>
      </c>
      <c r="K599" s="3">
        <f>0+[1]táj.2!K599</f>
        <v>0</v>
      </c>
      <c r="L599" s="3">
        <f>151234+[1]táj.2!L599</f>
        <v>151234</v>
      </c>
      <c r="M599" s="3">
        <f>0+[1]táj.2!M599</f>
        <v>0</v>
      </c>
      <c r="N599" s="3">
        <f>0+[1]táj.2!N599</f>
        <v>0</v>
      </c>
      <c r="O599" s="3">
        <f>0+[1]táj.2!O599</f>
        <v>0</v>
      </c>
      <c r="P599" s="3">
        <f>0+[1]táj.2!P599</f>
        <v>0</v>
      </c>
      <c r="Q599" s="7">
        <f t="shared" si="34"/>
        <v>214098</v>
      </c>
    </row>
    <row r="600" spans="1:17" ht="39.75" customHeight="1" x14ac:dyDescent="0.2">
      <c r="A600" s="162"/>
      <c r="B600" s="162"/>
      <c r="C600" s="254" t="s">
        <v>1199</v>
      </c>
      <c r="D600" s="624" t="s">
        <v>301</v>
      </c>
      <c r="E600" s="289"/>
      <c r="F600" s="187">
        <v>163627</v>
      </c>
      <c r="G600" s="3">
        <f>2535+[1]táj.2!G600</f>
        <v>2535</v>
      </c>
      <c r="H600" s="3">
        <f>975+[1]táj.2!H600</f>
        <v>975</v>
      </c>
      <c r="I600" s="3">
        <f>267175+[1]táj.2!I600</f>
        <v>267175</v>
      </c>
      <c r="J600" s="3">
        <f>0+[1]táj.2!J600</f>
        <v>0</v>
      </c>
      <c r="K600" s="3">
        <f>0+[1]táj.2!K600</f>
        <v>0</v>
      </c>
      <c r="L600" s="3">
        <f>191453+[1]táj.2!L600</f>
        <v>191453</v>
      </c>
      <c r="M600" s="3">
        <f>804625+[1]táj.2!M600</f>
        <v>804625</v>
      </c>
      <c r="N600" s="3">
        <f>0+[1]táj.2!N600</f>
        <v>0</v>
      </c>
      <c r="O600" s="3">
        <f>0+[1]táj.2!O600</f>
        <v>0</v>
      </c>
      <c r="P600" s="3">
        <f>0+[1]táj.2!P600</f>
        <v>0</v>
      </c>
      <c r="Q600" s="7">
        <f t="shared" si="34"/>
        <v>1266763</v>
      </c>
    </row>
    <row r="601" spans="1:17" ht="27" customHeight="1" x14ac:dyDescent="0.2">
      <c r="A601" s="162"/>
      <c r="B601" s="162"/>
      <c r="C601" s="254" t="s">
        <v>1200</v>
      </c>
      <c r="D601" s="624" t="s">
        <v>1201</v>
      </c>
      <c r="E601" s="289"/>
      <c r="F601" s="187">
        <v>163629</v>
      </c>
      <c r="G601" s="3">
        <f>0+[1]táj.2!G601</f>
        <v>0</v>
      </c>
      <c r="H601" s="3">
        <f>0+[1]táj.2!H601</f>
        <v>0</v>
      </c>
      <c r="I601" s="3">
        <f>297638+[1]táj.2!I601</f>
        <v>297638</v>
      </c>
      <c r="J601" s="3">
        <f>0+[1]táj.2!J601</f>
        <v>0</v>
      </c>
      <c r="K601" s="3">
        <f>0+[1]táj.2!K601</f>
        <v>0</v>
      </c>
      <c r="L601" s="3">
        <f>889462+[1]táj.2!L601</f>
        <v>889462</v>
      </c>
      <c r="M601" s="3">
        <f>0+[1]táj.2!M601</f>
        <v>0</v>
      </c>
      <c r="N601" s="3">
        <f>0+[1]táj.2!N601</f>
        <v>0</v>
      </c>
      <c r="O601" s="3">
        <f>0+[1]táj.2!O601</f>
        <v>0</v>
      </c>
      <c r="P601" s="3">
        <f>0+[1]táj.2!P601</f>
        <v>0</v>
      </c>
      <c r="Q601" s="7">
        <f t="shared" si="34"/>
        <v>1187100</v>
      </c>
    </row>
    <row r="602" spans="1:17" ht="28.5" customHeight="1" x14ac:dyDescent="0.2">
      <c r="A602" s="162"/>
      <c r="B602" s="162"/>
      <c r="C602" s="254" t="s">
        <v>1202</v>
      </c>
      <c r="D602" s="137" t="s">
        <v>1203</v>
      </c>
      <c r="E602" s="289"/>
      <c r="F602" s="187">
        <v>163628</v>
      </c>
      <c r="G602" s="3">
        <f>0+[1]táj.2!G602</f>
        <v>0</v>
      </c>
      <c r="H602" s="3">
        <f>0+[1]táj.2!H602</f>
        <v>0</v>
      </c>
      <c r="I602" s="3">
        <f>170476+[1]táj.2!I602</f>
        <v>170476</v>
      </c>
      <c r="J602" s="3">
        <f>0+[1]táj.2!J602</f>
        <v>0</v>
      </c>
      <c r="K602" s="3">
        <f>0+[1]táj.2!K602</f>
        <v>0</v>
      </c>
      <c r="L602" s="3">
        <f>593176+[1]táj.2!L602</f>
        <v>593176</v>
      </c>
      <c r="M602" s="3">
        <f>0+[1]táj.2!M602</f>
        <v>0</v>
      </c>
      <c r="N602" s="3">
        <f>0+[1]táj.2!N602</f>
        <v>0</v>
      </c>
      <c r="O602" s="3">
        <f>0+[1]táj.2!O602</f>
        <v>0</v>
      </c>
      <c r="P602" s="3">
        <f>0+[1]táj.2!P602</f>
        <v>0</v>
      </c>
      <c r="Q602" s="7">
        <f t="shared" si="34"/>
        <v>763652</v>
      </c>
    </row>
    <row r="603" spans="1:17" ht="39.75" customHeight="1" x14ac:dyDescent="0.2">
      <c r="A603" s="162"/>
      <c r="B603" s="162"/>
      <c r="C603" s="254" t="s">
        <v>1204</v>
      </c>
      <c r="D603" s="139" t="s">
        <v>233</v>
      </c>
      <c r="E603" s="289"/>
      <c r="F603" s="187">
        <v>163633</v>
      </c>
      <c r="G603" s="3">
        <f>0+[1]táj.2!G603</f>
        <v>0</v>
      </c>
      <c r="H603" s="3">
        <f>0+[1]táj.2!H603</f>
        <v>0</v>
      </c>
      <c r="I603" s="3">
        <f>148420+[1]táj.2!I603</f>
        <v>148420</v>
      </c>
      <c r="J603" s="3">
        <f>0+[1]táj.2!J603</f>
        <v>0</v>
      </c>
      <c r="K603" s="3">
        <f>0+[1]táj.2!K603</f>
        <v>0</v>
      </c>
      <c r="L603" s="3">
        <f>30750+[1]táj.2!L603</f>
        <v>30750</v>
      </c>
      <c r="M603" s="3">
        <f>0+[1]táj.2!M603</f>
        <v>0</v>
      </c>
      <c r="N603" s="3">
        <f>0+[1]táj.2!N603</f>
        <v>0</v>
      </c>
      <c r="O603" s="3">
        <f>0+[1]táj.2!O603</f>
        <v>0</v>
      </c>
      <c r="P603" s="3">
        <f>0+[1]táj.2!P603</f>
        <v>0</v>
      </c>
      <c r="Q603" s="7">
        <f t="shared" si="34"/>
        <v>179170</v>
      </c>
    </row>
    <row r="604" spans="1:17" ht="40.5" customHeight="1" x14ac:dyDescent="0.2">
      <c r="A604" s="162"/>
      <c r="B604" s="162"/>
      <c r="C604" s="254" t="s">
        <v>1205</v>
      </c>
      <c r="D604" s="137" t="s">
        <v>164</v>
      </c>
      <c r="E604" s="289"/>
      <c r="F604" s="187">
        <v>163637</v>
      </c>
      <c r="G604" s="3">
        <f>0+[1]táj.2!G604</f>
        <v>0</v>
      </c>
      <c r="H604" s="3">
        <f>0+[1]táj.2!H604</f>
        <v>0</v>
      </c>
      <c r="I604" s="3">
        <f>78468+[1]táj.2!I604</f>
        <v>78468</v>
      </c>
      <c r="J604" s="3">
        <f>0+[1]táj.2!J604</f>
        <v>0</v>
      </c>
      <c r="K604" s="3">
        <f>0+[1]táj.2!K604</f>
        <v>0</v>
      </c>
      <c r="L604" s="3">
        <f>257145+[1]táj.2!L604</f>
        <v>257145</v>
      </c>
      <c r="M604" s="3">
        <f>0+[1]táj.2!M604</f>
        <v>0</v>
      </c>
      <c r="N604" s="3">
        <f>0+[1]táj.2!N604</f>
        <v>0</v>
      </c>
      <c r="O604" s="3">
        <f>0+[1]táj.2!O604</f>
        <v>0</v>
      </c>
      <c r="P604" s="3">
        <f>0+[1]táj.2!P604</f>
        <v>0</v>
      </c>
      <c r="Q604" s="7">
        <f t="shared" si="34"/>
        <v>335613</v>
      </c>
    </row>
    <row r="605" spans="1:17" ht="29.25" customHeight="1" x14ac:dyDescent="0.2">
      <c r="A605" s="162"/>
      <c r="B605" s="162"/>
      <c r="C605" s="254" t="s">
        <v>1206</v>
      </c>
      <c r="D605" s="139" t="s">
        <v>165</v>
      </c>
      <c r="E605" s="289"/>
      <c r="F605" s="187">
        <v>163638</v>
      </c>
      <c r="G605" s="3">
        <f>2322+[1]táj.2!G605</f>
        <v>2322</v>
      </c>
      <c r="H605" s="3">
        <f>453+[1]táj.2!H605</f>
        <v>453</v>
      </c>
      <c r="I605" s="3">
        <f>1636+[1]táj.2!I605</f>
        <v>1636</v>
      </c>
      <c r="J605" s="3">
        <f>0+[1]táj.2!J605</f>
        <v>0</v>
      </c>
      <c r="K605" s="3">
        <f>0+[1]táj.2!K605</f>
        <v>0</v>
      </c>
      <c r="L605" s="3">
        <f>0+[1]táj.2!L605</f>
        <v>0</v>
      </c>
      <c r="M605" s="3">
        <f>318631+[1]táj.2!M605</f>
        <v>328631</v>
      </c>
      <c r="N605" s="3">
        <f>0+[1]táj.2!N605</f>
        <v>0</v>
      </c>
      <c r="O605" s="3">
        <f>0+[1]táj.2!O605</f>
        <v>0</v>
      </c>
      <c r="P605" s="3">
        <f>0+[1]táj.2!P605</f>
        <v>0</v>
      </c>
      <c r="Q605" s="7">
        <f t="shared" si="34"/>
        <v>333042</v>
      </c>
    </row>
    <row r="606" spans="1:17" ht="32.25" customHeight="1" x14ac:dyDescent="0.2">
      <c r="A606" s="162"/>
      <c r="B606" s="162"/>
      <c r="C606" s="254" t="s">
        <v>1207</v>
      </c>
      <c r="D606" s="139" t="s">
        <v>166</v>
      </c>
      <c r="E606" s="289"/>
      <c r="F606" s="187">
        <v>163639</v>
      </c>
      <c r="G606" s="3">
        <f>2459+[1]táj.2!G606</f>
        <v>2459</v>
      </c>
      <c r="H606" s="3">
        <f>541+[1]táj.2!H606</f>
        <v>541</v>
      </c>
      <c r="I606" s="3">
        <f>3662+[1]táj.2!I606</f>
        <v>3662</v>
      </c>
      <c r="J606" s="3">
        <f>0+[1]táj.2!J606</f>
        <v>0</v>
      </c>
      <c r="K606" s="3">
        <f>0+[1]táj.2!K606</f>
        <v>0</v>
      </c>
      <c r="L606" s="3">
        <f>0+[1]táj.2!L606</f>
        <v>0</v>
      </c>
      <c r="M606" s="3">
        <f>292367+[1]táj.2!M606</f>
        <v>292367</v>
      </c>
      <c r="N606" s="3">
        <f>0+[1]táj.2!N606</f>
        <v>0</v>
      </c>
      <c r="O606" s="3">
        <f>0+[1]táj.2!O606</f>
        <v>0</v>
      </c>
      <c r="P606" s="3">
        <f>0+[1]táj.2!P606</f>
        <v>0</v>
      </c>
      <c r="Q606" s="7">
        <f t="shared" si="34"/>
        <v>299029</v>
      </c>
    </row>
    <row r="607" spans="1:17" ht="30.75" customHeight="1" x14ac:dyDescent="0.2">
      <c r="A607" s="162"/>
      <c r="B607" s="162"/>
      <c r="C607" s="254" t="s">
        <v>1208</v>
      </c>
      <c r="D607" s="139" t="s">
        <v>167</v>
      </c>
      <c r="E607" s="289"/>
      <c r="F607" s="187">
        <v>163640</v>
      </c>
      <c r="G607" s="3">
        <f>0+[1]táj.2!G607</f>
        <v>0</v>
      </c>
      <c r="H607" s="3">
        <f>0+[1]táj.2!H607</f>
        <v>0</v>
      </c>
      <c r="I607" s="3">
        <f>1874+[1]táj.2!I607</f>
        <v>1874</v>
      </c>
      <c r="J607" s="3">
        <f>0+[1]táj.2!J607</f>
        <v>0</v>
      </c>
      <c r="K607" s="3">
        <f>0+[1]táj.2!K607</f>
        <v>0</v>
      </c>
      <c r="L607" s="3">
        <f>0+[1]táj.2!L607</f>
        <v>0</v>
      </c>
      <c r="M607" s="3">
        <f>127612+[1]táj.2!M607</f>
        <v>133139</v>
      </c>
      <c r="N607" s="3">
        <f>0+[1]táj.2!N607</f>
        <v>0</v>
      </c>
      <c r="O607" s="3">
        <f>0+[1]táj.2!O607</f>
        <v>0</v>
      </c>
      <c r="P607" s="3">
        <f>0+[1]táj.2!P607</f>
        <v>0</v>
      </c>
      <c r="Q607" s="7">
        <f t="shared" si="34"/>
        <v>135013</v>
      </c>
    </row>
    <row r="608" spans="1:17" ht="30.75" customHeight="1" x14ac:dyDescent="0.2">
      <c r="A608" s="162"/>
      <c r="B608" s="162"/>
      <c r="C608" s="254" t="s">
        <v>1209</v>
      </c>
      <c r="D608" s="191" t="s">
        <v>1210</v>
      </c>
      <c r="E608" s="289"/>
      <c r="F608" s="187">
        <v>163646</v>
      </c>
      <c r="G608" s="3">
        <f>0+[1]táj.2!G608</f>
        <v>0</v>
      </c>
      <c r="H608" s="3">
        <f>0+[1]táj.2!H608</f>
        <v>0</v>
      </c>
      <c r="I608" s="3">
        <f>30+[1]táj.2!I608</f>
        <v>30</v>
      </c>
      <c r="J608" s="3">
        <f>0+[1]táj.2!J608</f>
        <v>0</v>
      </c>
      <c r="K608" s="3">
        <f>0+[1]táj.2!K608</f>
        <v>0</v>
      </c>
      <c r="L608" s="3">
        <f>8637+[1]táj.2!L608</f>
        <v>8637</v>
      </c>
      <c r="M608" s="3">
        <f>0+[1]táj.2!M608</f>
        <v>0</v>
      </c>
      <c r="N608" s="3">
        <f>0+[1]táj.2!N608</f>
        <v>0</v>
      </c>
      <c r="O608" s="3">
        <f>0+[1]táj.2!O608</f>
        <v>0</v>
      </c>
      <c r="P608" s="3">
        <f>0+[1]táj.2!P608</f>
        <v>0</v>
      </c>
      <c r="Q608" s="7">
        <f t="shared" si="34"/>
        <v>8667</v>
      </c>
    </row>
    <row r="609" spans="1:17" ht="30.75" customHeight="1" x14ac:dyDescent="0.2">
      <c r="A609" s="162"/>
      <c r="B609" s="162"/>
      <c r="C609" s="254" t="s">
        <v>1211</v>
      </c>
      <c r="D609" s="137" t="s">
        <v>1212</v>
      </c>
      <c r="E609" s="596"/>
      <c r="F609" s="187">
        <v>163636</v>
      </c>
      <c r="G609" s="3">
        <f>0+[1]táj.2!G609</f>
        <v>0</v>
      </c>
      <c r="H609" s="3">
        <f>0+[1]táj.2!H609</f>
        <v>0</v>
      </c>
      <c r="I609" s="3">
        <f>2730+[1]táj.2!I609</f>
        <v>2730</v>
      </c>
      <c r="J609" s="3">
        <f>0+[1]táj.2!J609</f>
        <v>0</v>
      </c>
      <c r="K609" s="3">
        <f>0+[1]táj.2!K609</f>
        <v>0</v>
      </c>
      <c r="L609" s="3">
        <f>0+[1]táj.2!L609</f>
        <v>0</v>
      </c>
      <c r="M609" s="3">
        <f>122670+[1]táj.2!M609</f>
        <v>129787</v>
      </c>
      <c r="N609" s="3">
        <f>0+[1]táj.2!N609</f>
        <v>0</v>
      </c>
      <c r="O609" s="3">
        <f>0+[1]táj.2!O609</f>
        <v>0</v>
      </c>
      <c r="P609" s="3">
        <f>0+[1]táj.2!P609</f>
        <v>0</v>
      </c>
      <c r="Q609" s="7">
        <f t="shared" si="34"/>
        <v>132517</v>
      </c>
    </row>
    <row r="610" spans="1:17" ht="21" customHeight="1" x14ac:dyDescent="0.2">
      <c r="A610" s="162"/>
      <c r="B610" s="162"/>
      <c r="C610" s="237" t="s">
        <v>1213</v>
      </c>
      <c r="D610" s="313" t="s">
        <v>1214</v>
      </c>
      <c r="E610" s="187"/>
      <c r="F610" s="187">
        <v>162630</v>
      </c>
      <c r="G610" s="3">
        <f>0+[1]táj.2!G610</f>
        <v>0</v>
      </c>
      <c r="H610" s="3">
        <f>0+[1]táj.2!H610</f>
        <v>0</v>
      </c>
      <c r="I610" s="3">
        <f>1854+[1]táj.2!I610</f>
        <v>1939</v>
      </c>
      <c r="J610" s="3">
        <f>0+[1]táj.2!J610</f>
        <v>0</v>
      </c>
      <c r="K610" s="3">
        <f>0+[1]táj.2!K610</f>
        <v>0</v>
      </c>
      <c r="L610" s="3">
        <f>233194+[1]táj.2!L610</f>
        <v>233194</v>
      </c>
      <c r="M610" s="3">
        <f>503+[1]táj.2!M610</f>
        <v>75456</v>
      </c>
      <c r="N610" s="3">
        <f>0+[1]táj.2!N610</f>
        <v>0</v>
      </c>
      <c r="O610" s="3">
        <f>0+[1]táj.2!O610</f>
        <v>0</v>
      </c>
      <c r="P610" s="3">
        <f>0+[1]táj.2!P610</f>
        <v>0</v>
      </c>
      <c r="Q610" s="7">
        <f t="shared" si="34"/>
        <v>310589</v>
      </c>
    </row>
    <row r="611" spans="1:17" ht="16.5" hidden="1" customHeight="1" x14ac:dyDescent="0.2">
      <c r="A611" s="162"/>
      <c r="B611" s="162"/>
      <c r="C611" s="254"/>
      <c r="D611" s="321" t="s">
        <v>1215</v>
      </c>
      <c r="E611" s="187"/>
      <c r="F611" s="187"/>
      <c r="G611" s="3">
        <f>0+[1]táj.2!G611</f>
        <v>0</v>
      </c>
      <c r="H611" s="3">
        <f>0+[1]táj.2!H611</f>
        <v>0</v>
      </c>
      <c r="I611" s="3">
        <f>0+[1]táj.2!I611</f>
        <v>0</v>
      </c>
      <c r="J611" s="3">
        <f>0+[1]táj.2!J611</f>
        <v>0</v>
      </c>
      <c r="K611" s="3">
        <f>0+[1]táj.2!K611</f>
        <v>0</v>
      </c>
      <c r="L611" s="3">
        <f>0+[1]táj.2!L611</f>
        <v>0</v>
      </c>
      <c r="M611" s="3">
        <f>0+[1]táj.2!M611</f>
        <v>0</v>
      </c>
      <c r="N611" s="3">
        <f>0+[1]táj.2!N611</f>
        <v>0</v>
      </c>
      <c r="O611" s="3">
        <f>0+[1]táj.2!O611</f>
        <v>0</v>
      </c>
      <c r="P611" s="3">
        <f>0+[1]táj.2!P611</f>
        <v>0</v>
      </c>
      <c r="Q611" s="7"/>
    </row>
    <row r="612" spans="1:17" ht="23.25" hidden="1" customHeight="1" x14ac:dyDescent="0.2">
      <c r="A612" s="162"/>
      <c r="B612" s="162"/>
      <c r="C612" s="254"/>
      <c r="D612" s="643" t="s">
        <v>1216</v>
      </c>
      <c r="E612" s="187"/>
      <c r="F612" s="187"/>
      <c r="G612" s="3">
        <f>0+[1]táj.2!G612</f>
        <v>0</v>
      </c>
      <c r="H612" s="3">
        <f>0+[1]táj.2!H612</f>
        <v>0</v>
      </c>
      <c r="I612" s="3">
        <f>0+[1]táj.2!I612</f>
        <v>0</v>
      </c>
      <c r="J612" s="3">
        <f>0+[1]táj.2!J612</f>
        <v>0</v>
      </c>
      <c r="K612" s="3">
        <f>0+[1]táj.2!K612</f>
        <v>0</v>
      </c>
      <c r="L612" s="3">
        <f>0+[1]táj.2!L612</f>
        <v>0</v>
      </c>
      <c r="M612" s="3">
        <f>0+[1]táj.2!M612</f>
        <v>0</v>
      </c>
      <c r="N612" s="3">
        <f>0+[1]táj.2!N612</f>
        <v>0</v>
      </c>
      <c r="O612" s="3">
        <f>0+[1]táj.2!O612</f>
        <v>0</v>
      </c>
      <c r="P612" s="3">
        <f>0+[1]táj.2!P612</f>
        <v>0</v>
      </c>
      <c r="Q612" s="7"/>
    </row>
    <row r="613" spans="1:17" ht="16.5" hidden="1" customHeight="1" x14ac:dyDescent="0.2">
      <c r="A613" s="162"/>
      <c r="B613" s="162"/>
      <c r="C613" s="254"/>
      <c r="D613" s="643" t="s">
        <v>1217</v>
      </c>
      <c r="E613" s="187"/>
      <c r="F613" s="187"/>
      <c r="G613" s="3">
        <f>0+[1]táj.2!G613</f>
        <v>0</v>
      </c>
      <c r="H613" s="3">
        <f>0+[1]táj.2!H613</f>
        <v>0</v>
      </c>
      <c r="I613" s="3">
        <f>0+[1]táj.2!I613</f>
        <v>0</v>
      </c>
      <c r="J613" s="3">
        <f>0+[1]táj.2!J613</f>
        <v>0</v>
      </c>
      <c r="K613" s="3">
        <f>0+[1]táj.2!K613</f>
        <v>0</v>
      </c>
      <c r="L613" s="3">
        <f>0+[1]táj.2!L613</f>
        <v>0</v>
      </c>
      <c r="M613" s="3">
        <f>0+[1]táj.2!M613</f>
        <v>0</v>
      </c>
      <c r="N613" s="3">
        <f>0+[1]táj.2!N613</f>
        <v>0</v>
      </c>
      <c r="O613" s="3">
        <f>0+[1]táj.2!O613</f>
        <v>0</v>
      </c>
      <c r="P613" s="3">
        <f>0+[1]táj.2!P613</f>
        <v>0</v>
      </c>
      <c r="Q613" s="7"/>
    </row>
    <row r="614" spans="1:17" ht="27" hidden="1" customHeight="1" x14ac:dyDescent="0.2">
      <c r="A614" s="162"/>
      <c r="B614" s="162"/>
      <c r="C614" s="254"/>
      <c r="D614" s="142" t="s">
        <v>1218</v>
      </c>
      <c r="E614" s="187"/>
      <c r="F614" s="187"/>
      <c r="G614" s="3">
        <f>0+[1]táj.2!G614</f>
        <v>0</v>
      </c>
      <c r="H614" s="3">
        <f>0+[1]táj.2!H614</f>
        <v>0</v>
      </c>
      <c r="I614" s="3">
        <f>0+[1]táj.2!I614</f>
        <v>0</v>
      </c>
      <c r="J614" s="3">
        <f>0+[1]táj.2!J614</f>
        <v>0</v>
      </c>
      <c r="K614" s="3">
        <f>0+[1]táj.2!K614</f>
        <v>0</v>
      </c>
      <c r="L614" s="3">
        <f>0+[1]táj.2!L614</f>
        <v>0</v>
      </c>
      <c r="M614" s="3">
        <f>0+[1]táj.2!M614</f>
        <v>0</v>
      </c>
      <c r="N614" s="3">
        <f>0+[1]táj.2!N614</f>
        <v>0</v>
      </c>
      <c r="O614" s="3">
        <f>0+[1]táj.2!O614</f>
        <v>0</v>
      </c>
      <c r="P614" s="3">
        <f>0+[1]táj.2!P614</f>
        <v>0</v>
      </c>
      <c r="Q614" s="7"/>
    </row>
    <row r="615" spans="1:17" ht="27" hidden="1" customHeight="1" x14ac:dyDescent="0.2">
      <c r="A615" s="162"/>
      <c r="B615" s="162"/>
      <c r="C615" s="254"/>
      <c r="D615" s="644" t="s">
        <v>1219</v>
      </c>
      <c r="E615" s="187"/>
      <c r="F615" s="187"/>
      <c r="G615" s="3">
        <f>0+[1]táj.2!G615</f>
        <v>0</v>
      </c>
      <c r="H615" s="3">
        <f>0+[1]táj.2!H615</f>
        <v>0</v>
      </c>
      <c r="I615" s="3">
        <f>0+[1]táj.2!I615</f>
        <v>0</v>
      </c>
      <c r="J615" s="3">
        <f>0+[1]táj.2!J615</f>
        <v>0</v>
      </c>
      <c r="K615" s="3">
        <f>0+[1]táj.2!K615</f>
        <v>0</v>
      </c>
      <c r="L615" s="3">
        <f>0+[1]táj.2!L615</f>
        <v>0</v>
      </c>
      <c r="M615" s="3">
        <f>0+[1]táj.2!M615</f>
        <v>0</v>
      </c>
      <c r="N615" s="3">
        <f>0+[1]táj.2!N615</f>
        <v>0</v>
      </c>
      <c r="O615" s="3">
        <f>0+[1]táj.2!O615</f>
        <v>0</v>
      </c>
      <c r="P615" s="3">
        <f>0+[1]táj.2!P615</f>
        <v>0</v>
      </c>
      <c r="Q615" s="7"/>
    </row>
    <row r="616" spans="1:17" ht="25.5" hidden="1" customHeight="1" x14ac:dyDescent="0.2">
      <c r="A616" s="162"/>
      <c r="B616" s="162"/>
      <c r="C616" s="254"/>
      <c r="D616" s="142" t="s">
        <v>1220</v>
      </c>
      <c r="E616" s="187"/>
      <c r="F616" s="187"/>
      <c r="G616" s="3">
        <f>0+[1]táj.2!G616</f>
        <v>0</v>
      </c>
      <c r="H616" s="3">
        <f>0+[1]táj.2!H616</f>
        <v>0</v>
      </c>
      <c r="I616" s="3">
        <f>0+[1]táj.2!I616</f>
        <v>0</v>
      </c>
      <c r="J616" s="3">
        <f>0+[1]táj.2!J616</f>
        <v>0</v>
      </c>
      <c r="K616" s="3">
        <f>0+[1]táj.2!K616</f>
        <v>0</v>
      </c>
      <c r="L616" s="3">
        <f>0+[1]táj.2!L616</f>
        <v>0</v>
      </c>
      <c r="M616" s="3">
        <f>0+[1]táj.2!M616</f>
        <v>0</v>
      </c>
      <c r="N616" s="3">
        <f>0+[1]táj.2!N616</f>
        <v>0</v>
      </c>
      <c r="O616" s="3">
        <f>0+[1]táj.2!O616</f>
        <v>0</v>
      </c>
      <c r="P616" s="3">
        <f>0+[1]táj.2!P616</f>
        <v>0</v>
      </c>
      <c r="Q616" s="7"/>
    </row>
    <row r="617" spans="1:17" ht="17.100000000000001" hidden="1" customHeight="1" x14ac:dyDescent="0.2">
      <c r="A617" s="162"/>
      <c r="B617" s="162"/>
      <c r="C617" s="254"/>
      <c r="D617" s="645" t="s">
        <v>1221</v>
      </c>
      <c r="E617" s="187"/>
      <c r="F617" s="187"/>
      <c r="G617" s="3">
        <f>0+[1]táj.2!G617</f>
        <v>0</v>
      </c>
      <c r="H617" s="3">
        <f>0+[1]táj.2!H617</f>
        <v>0</v>
      </c>
      <c r="I617" s="3">
        <f>0+[1]táj.2!I617</f>
        <v>0</v>
      </c>
      <c r="J617" s="3">
        <f>0+[1]táj.2!J617</f>
        <v>0</v>
      </c>
      <c r="K617" s="3">
        <f>0+[1]táj.2!K617</f>
        <v>0</v>
      </c>
      <c r="L617" s="3">
        <f>0+[1]táj.2!L617</f>
        <v>0</v>
      </c>
      <c r="M617" s="3">
        <f>0+[1]táj.2!M617</f>
        <v>0</v>
      </c>
      <c r="N617" s="3">
        <f>0+[1]táj.2!N617</f>
        <v>0</v>
      </c>
      <c r="O617" s="3">
        <f>0+[1]táj.2!O617</f>
        <v>0</v>
      </c>
      <c r="P617" s="3">
        <f>0+[1]táj.2!P617</f>
        <v>0</v>
      </c>
      <c r="Q617" s="7"/>
    </row>
    <row r="618" spans="1:17" ht="17.100000000000001" hidden="1" customHeight="1" x14ac:dyDescent="0.2">
      <c r="A618" s="162"/>
      <c r="B618" s="162"/>
      <c r="C618" s="254"/>
      <c r="D618" s="645" t="s">
        <v>1222</v>
      </c>
      <c r="E618" s="187"/>
      <c r="F618" s="187"/>
      <c r="G618" s="3">
        <f>0+[1]táj.2!G618</f>
        <v>0</v>
      </c>
      <c r="H618" s="3">
        <f>0+[1]táj.2!H618</f>
        <v>0</v>
      </c>
      <c r="I618" s="3">
        <f>0+[1]táj.2!I618</f>
        <v>0</v>
      </c>
      <c r="J618" s="3">
        <f>0+[1]táj.2!J618</f>
        <v>0</v>
      </c>
      <c r="K618" s="3">
        <f>0+[1]táj.2!K618</f>
        <v>0</v>
      </c>
      <c r="L618" s="3">
        <f>0+[1]táj.2!L618</f>
        <v>0</v>
      </c>
      <c r="M618" s="3">
        <f>0+[1]táj.2!M618</f>
        <v>0</v>
      </c>
      <c r="N618" s="3">
        <f>0+[1]táj.2!N618</f>
        <v>0</v>
      </c>
      <c r="O618" s="3">
        <f>0+[1]táj.2!O618</f>
        <v>0</v>
      </c>
      <c r="P618" s="3">
        <f>0+[1]táj.2!P618</f>
        <v>0</v>
      </c>
      <c r="Q618" s="7"/>
    </row>
    <row r="619" spans="1:17" ht="17.100000000000001" hidden="1" customHeight="1" x14ac:dyDescent="0.2">
      <c r="A619" s="162"/>
      <c r="B619" s="162"/>
      <c r="C619" s="254"/>
      <c r="D619" s="645" t="s">
        <v>1223</v>
      </c>
      <c r="E619" s="187"/>
      <c r="F619" s="187"/>
      <c r="G619" s="3">
        <f>0+[1]táj.2!G619</f>
        <v>0</v>
      </c>
      <c r="H619" s="3">
        <f>0+[1]táj.2!H619</f>
        <v>0</v>
      </c>
      <c r="I619" s="3">
        <f>0+[1]táj.2!I619</f>
        <v>0</v>
      </c>
      <c r="J619" s="3">
        <f>0+[1]táj.2!J619</f>
        <v>0</v>
      </c>
      <c r="K619" s="3">
        <f>0+[1]táj.2!K619</f>
        <v>0</v>
      </c>
      <c r="L619" s="3">
        <f>0+[1]táj.2!L619</f>
        <v>0</v>
      </c>
      <c r="M619" s="3">
        <f>0+[1]táj.2!M619</f>
        <v>0</v>
      </c>
      <c r="N619" s="3">
        <f>0+[1]táj.2!N619</f>
        <v>0</v>
      </c>
      <c r="O619" s="3">
        <f>0+[1]táj.2!O619</f>
        <v>0</v>
      </c>
      <c r="P619" s="3">
        <f>0+[1]táj.2!P619</f>
        <v>0</v>
      </c>
      <c r="Q619" s="7"/>
    </row>
    <row r="620" spans="1:17" ht="17.100000000000001" hidden="1" customHeight="1" x14ac:dyDescent="0.2">
      <c r="A620" s="162"/>
      <c r="B620" s="162"/>
      <c r="C620" s="254"/>
      <c r="D620" s="645" t="s">
        <v>1224</v>
      </c>
      <c r="E620" s="187"/>
      <c r="F620" s="187"/>
      <c r="G620" s="3">
        <f>0+[1]táj.2!G620</f>
        <v>0</v>
      </c>
      <c r="H620" s="3">
        <f>0+[1]táj.2!H620</f>
        <v>0</v>
      </c>
      <c r="I620" s="3">
        <f>0+[1]táj.2!I620</f>
        <v>0</v>
      </c>
      <c r="J620" s="3">
        <f>0+[1]táj.2!J620</f>
        <v>0</v>
      </c>
      <c r="K620" s="3">
        <f>0+[1]táj.2!K620</f>
        <v>0</v>
      </c>
      <c r="L620" s="3">
        <f>0+[1]táj.2!L620</f>
        <v>0</v>
      </c>
      <c r="M620" s="3">
        <f>0+[1]táj.2!M620</f>
        <v>0</v>
      </c>
      <c r="N620" s="3">
        <f>0+[1]táj.2!N620</f>
        <v>0</v>
      </c>
      <c r="O620" s="3">
        <f>0+[1]táj.2!O620</f>
        <v>0</v>
      </c>
      <c r="P620" s="3">
        <f>0+[1]táj.2!P620</f>
        <v>0</v>
      </c>
      <c r="Q620" s="7"/>
    </row>
    <row r="621" spans="1:17" ht="27" hidden="1" customHeight="1" x14ac:dyDescent="0.2">
      <c r="A621" s="162"/>
      <c r="B621" s="162"/>
      <c r="C621" s="254"/>
      <c r="D621" s="645" t="s">
        <v>1225</v>
      </c>
      <c r="E621" s="187"/>
      <c r="F621" s="187"/>
      <c r="G621" s="3">
        <f>0+[1]táj.2!G621</f>
        <v>0</v>
      </c>
      <c r="H621" s="3">
        <f>0+[1]táj.2!H621</f>
        <v>0</v>
      </c>
      <c r="I621" s="3">
        <f>0+[1]táj.2!I621</f>
        <v>0</v>
      </c>
      <c r="J621" s="3">
        <f>0+[1]táj.2!J621</f>
        <v>0</v>
      </c>
      <c r="K621" s="3">
        <f>0+[1]táj.2!K621</f>
        <v>0</v>
      </c>
      <c r="L621" s="3">
        <f>0+[1]táj.2!L621</f>
        <v>0</v>
      </c>
      <c r="M621" s="3">
        <f>0+[1]táj.2!M621</f>
        <v>0</v>
      </c>
      <c r="N621" s="3">
        <f>0+[1]táj.2!N621</f>
        <v>0</v>
      </c>
      <c r="O621" s="3">
        <f>0+[1]táj.2!O621</f>
        <v>0</v>
      </c>
      <c r="P621" s="3">
        <f>0+[1]táj.2!P621</f>
        <v>0</v>
      </c>
      <c r="Q621" s="7"/>
    </row>
    <row r="622" spans="1:17" ht="15.75" hidden="1" customHeight="1" x14ac:dyDescent="0.2">
      <c r="A622" s="162"/>
      <c r="B622" s="162"/>
      <c r="C622" s="254"/>
      <c r="D622" s="645" t="s">
        <v>1226</v>
      </c>
      <c r="E622" s="187"/>
      <c r="F622" s="187"/>
      <c r="G622" s="3">
        <f>0+[1]táj.2!G622</f>
        <v>0</v>
      </c>
      <c r="H622" s="3">
        <f>0+[1]táj.2!H622</f>
        <v>0</v>
      </c>
      <c r="I622" s="3">
        <f>0+[1]táj.2!I622</f>
        <v>0</v>
      </c>
      <c r="J622" s="3">
        <f>0+[1]táj.2!J622</f>
        <v>0</v>
      </c>
      <c r="K622" s="3">
        <f>0+[1]táj.2!K622</f>
        <v>0</v>
      </c>
      <c r="L622" s="3">
        <f>0+[1]táj.2!L622</f>
        <v>0</v>
      </c>
      <c r="M622" s="3">
        <f>0+[1]táj.2!M622</f>
        <v>0</v>
      </c>
      <c r="N622" s="3">
        <f>0+[1]táj.2!N622</f>
        <v>0</v>
      </c>
      <c r="O622" s="3">
        <f>0+[1]táj.2!O622</f>
        <v>0</v>
      </c>
      <c r="P622" s="3">
        <f>0+[1]táj.2!P622</f>
        <v>0</v>
      </c>
      <c r="Q622" s="7"/>
    </row>
    <row r="623" spans="1:17" ht="27" hidden="1" customHeight="1" x14ac:dyDescent="0.2">
      <c r="A623" s="162"/>
      <c r="B623" s="162"/>
      <c r="C623" s="254"/>
      <c r="D623" s="645" t="s">
        <v>1227</v>
      </c>
      <c r="E623" s="187"/>
      <c r="F623" s="187"/>
      <c r="G623" s="3">
        <f>0+[1]táj.2!G623</f>
        <v>0</v>
      </c>
      <c r="H623" s="3">
        <f>0+[1]táj.2!H623</f>
        <v>0</v>
      </c>
      <c r="I623" s="3">
        <f>0+[1]táj.2!I623</f>
        <v>0</v>
      </c>
      <c r="J623" s="3">
        <f>0+[1]táj.2!J623</f>
        <v>0</v>
      </c>
      <c r="K623" s="3">
        <f>0+[1]táj.2!K623</f>
        <v>0</v>
      </c>
      <c r="L623" s="3">
        <f>0+[1]táj.2!L623</f>
        <v>0</v>
      </c>
      <c r="M623" s="3">
        <f>0+[1]táj.2!M623</f>
        <v>0</v>
      </c>
      <c r="N623" s="3">
        <f>0+[1]táj.2!N623</f>
        <v>0</v>
      </c>
      <c r="O623" s="3">
        <f>0+[1]táj.2!O623</f>
        <v>0</v>
      </c>
      <c r="P623" s="3">
        <f>0+[1]táj.2!P623</f>
        <v>0</v>
      </c>
      <c r="Q623" s="7"/>
    </row>
    <row r="624" spans="1:17" ht="17.100000000000001" hidden="1" customHeight="1" x14ac:dyDescent="0.2">
      <c r="A624" s="162"/>
      <c r="B624" s="162"/>
      <c r="C624" s="254"/>
      <c r="D624" s="645" t="s">
        <v>1228</v>
      </c>
      <c r="E624" s="187"/>
      <c r="F624" s="187"/>
      <c r="G624" s="3">
        <f>0+[1]táj.2!G624</f>
        <v>0</v>
      </c>
      <c r="H624" s="3">
        <f>0+[1]táj.2!H624</f>
        <v>0</v>
      </c>
      <c r="I624" s="3">
        <f>0+[1]táj.2!I624</f>
        <v>0</v>
      </c>
      <c r="J624" s="3">
        <f>0+[1]táj.2!J624</f>
        <v>0</v>
      </c>
      <c r="K624" s="3">
        <f>0+[1]táj.2!K624</f>
        <v>0</v>
      </c>
      <c r="L624" s="3">
        <f>0+[1]táj.2!L624</f>
        <v>0</v>
      </c>
      <c r="M624" s="3">
        <f>0+[1]táj.2!M624</f>
        <v>0</v>
      </c>
      <c r="N624" s="3">
        <f>0+[1]táj.2!N624</f>
        <v>0</v>
      </c>
      <c r="O624" s="3">
        <f>0+[1]táj.2!O624</f>
        <v>0</v>
      </c>
      <c r="P624" s="3">
        <f>0+[1]táj.2!P624</f>
        <v>0</v>
      </c>
      <c r="Q624" s="7"/>
    </row>
    <row r="625" spans="1:17" ht="17.100000000000001" hidden="1" customHeight="1" x14ac:dyDescent="0.2">
      <c r="A625" s="162"/>
      <c r="B625" s="162"/>
      <c r="C625" s="254"/>
      <c r="D625" s="645" t="s">
        <v>1229</v>
      </c>
      <c r="E625" s="187"/>
      <c r="F625" s="187"/>
      <c r="G625" s="3">
        <f>0+[1]táj.2!G625</f>
        <v>0</v>
      </c>
      <c r="H625" s="3">
        <f>0+[1]táj.2!H625</f>
        <v>0</v>
      </c>
      <c r="I625" s="3">
        <f>0+[1]táj.2!I625</f>
        <v>0</v>
      </c>
      <c r="J625" s="3">
        <f>0+[1]táj.2!J625</f>
        <v>0</v>
      </c>
      <c r="K625" s="3">
        <f>0+[1]táj.2!K625</f>
        <v>0</v>
      </c>
      <c r="L625" s="3">
        <f>0+[1]táj.2!L625</f>
        <v>0</v>
      </c>
      <c r="M625" s="3">
        <f>0+[1]táj.2!M625</f>
        <v>0</v>
      </c>
      <c r="N625" s="3">
        <f>0+[1]táj.2!N625</f>
        <v>0</v>
      </c>
      <c r="O625" s="3">
        <f>0+[1]táj.2!O625</f>
        <v>0</v>
      </c>
      <c r="P625" s="3">
        <f>0+[1]táj.2!P625</f>
        <v>0</v>
      </c>
      <c r="Q625" s="7"/>
    </row>
    <row r="626" spans="1:17" ht="17.100000000000001" hidden="1" customHeight="1" x14ac:dyDescent="0.2">
      <c r="A626" s="162"/>
      <c r="B626" s="162"/>
      <c r="C626" s="254"/>
      <c r="D626" s="645" t="s">
        <v>1230</v>
      </c>
      <c r="E626" s="187"/>
      <c r="F626" s="187"/>
      <c r="G626" s="3">
        <f>0+[1]táj.2!G626</f>
        <v>0</v>
      </c>
      <c r="H626" s="3">
        <f>0+[1]táj.2!H626</f>
        <v>0</v>
      </c>
      <c r="I626" s="3">
        <f>0+[1]táj.2!I626</f>
        <v>0</v>
      </c>
      <c r="J626" s="3">
        <f>0+[1]táj.2!J626</f>
        <v>0</v>
      </c>
      <c r="K626" s="3">
        <f>0+[1]táj.2!K626</f>
        <v>0</v>
      </c>
      <c r="L626" s="3">
        <f>0+[1]táj.2!L626</f>
        <v>0</v>
      </c>
      <c r="M626" s="3">
        <f>0+[1]táj.2!M626</f>
        <v>0</v>
      </c>
      <c r="N626" s="3">
        <f>0+[1]táj.2!N626</f>
        <v>0</v>
      </c>
      <c r="O626" s="3">
        <f>0+[1]táj.2!O626</f>
        <v>0</v>
      </c>
      <c r="P626" s="3">
        <f>0+[1]táj.2!P626</f>
        <v>0</v>
      </c>
      <c r="Q626" s="7"/>
    </row>
    <row r="627" spans="1:17" ht="17.100000000000001" hidden="1" customHeight="1" x14ac:dyDescent="0.2">
      <c r="A627" s="162"/>
      <c r="B627" s="162"/>
      <c r="C627" s="254"/>
      <c r="D627" s="645" t="s">
        <v>1231</v>
      </c>
      <c r="E627" s="187"/>
      <c r="F627" s="187"/>
      <c r="G627" s="3">
        <f>0+[1]táj.2!G627</f>
        <v>0</v>
      </c>
      <c r="H627" s="3">
        <f>0+[1]táj.2!H627</f>
        <v>0</v>
      </c>
      <c r="I627" s="3">
        <f>0+[1]táj.2!I627</f>
        <v>0</v>
      </c>
      <c r="J627" s="3">
        <f>0+[1]táj.2!J627</f>
        <v>0</v>
      </c>
      <c r="K627" s="3">
        <f>0+[1]táj.2!K627</f>
        <v>0</v>
      </c>
      <c r="L627" s="3">
        <f>0+[1]táj.2!L627</f>
        <v>0</v>
      </c>
      <c r="M627" s="3">
        <f>0+[1]táj.2!M627</f>
        <v>0</v>
      </c>
      <c r="N627" s="3">
        <f>0+[1]táj.2!N627</f>
        <v>0</v>
      </c>
      <c r="O627" s="3">
        <f>0+[1]táj.2!O627</f>
        <v>0</v>
      </c>
      <c r="P627" s="3">
        <f>0+[1]táj.2!P627</f>
        <v>0</v>
      </c>
      <c r="Q627" s="7"/>
    </row>
    <row r="628" spans="1:17" ht="17.100000000000001" hidden="1" customHeight="1" x14ac:dyDescent="0.2">
      <c r="A628" s="162"/>
      <c r="B628" s="162"/>
      <c r="C628" s="254"/>
      <c r="D628" s="645" t="s">
        <v>1232</v>
      </c>
      <c r="E628" s="187"/>
      <c r="F628" s="187"/>
      <c r="G628" s="3">
        <f>0+[1]táj.2!G628</f>
        <v>0</v>
      </c>
      <c r="H628" s="3">
        <f>0+[1]táj.2!H628</f>
        <v>0</v>
      </c>
      <c r="I628" s="3">
        <f>0+[1]táj.2!I628</f>
        <v>0</v>
      </c>
      <c r="J628" s="3">
        <f>0+[1]táj.2!J628</f>
        <v>0</v>
      </c>
      <c r="K628" s="3">
        <f>0+[1]táj.2!K628</f>
        <v>0</v>
      </c>
      <c r="L628" s="3">
        <f>0+[1]táj.2!L628</f>
        <v>0</v>
      </c>
      <c r="M628" s="3">
        <f>0+[1]táj.2!M628</f>
        <v>0</v>
      </c>
      <c r="N628" s="3">
        <f>0+[1]táj.2!N628</f>
        <v>0</v>
      </c>
      <c r="O628" s="3">
        <f>0+[1]táj.2!O628</f>
        <v>0</v>
      </c>
      <c r="P628" s="3">
        <f>0+[1]táj.2!P628</f>
        <v>0</v>
      </c>
      <c r="Q628" s="7"/>
    </row>
    <row r="629" spans="1:17" ht="24" hidden="1" customHeight="1" x14ac:dyDescent="0.2">
      <c r="A629" s="162"/>
      <c r="B629" s="162"/>
      <c r="C629" s="254"/>
      <c r="D629" s="645" t="s">
        <v>1233</v>
      </c>
      <c r="E629" s="187"/>
      <c r="F629" s="187"/>
      <c r="G629" s="3">
        <f>0+[1]táj.2!G629</f>
        <v>0</v>
      </c>
      <c r="H629" s="3">
        <f>0+[1]táj.2!H629</f>
        <v>0</v>
      </c>
      <c r="I629" s="3">
        <f>0+[1]táj.2!I629</f>
        <v>0</v>
      </c>
      <c r="J629" s="3">
        <f>0+[1]táj.2!J629</f>
        <v>0</v>
      </c>
      <c r="K629" s="3">
        <f>0+[1]táj.2!K629</f>
        <v>0</v>
      </c>
      <c r="L629" s="3">
        <f>0+[1]táj.2!L629</f>
        <v>0</v>
      </c>
      <c r="M629" s="3">
        <f>0+[1]táj.2!M629</f>
        <v>0</v>
      </c>
      <c r="N629" s="3">
        <f>0+[1]táj.2!N629</f>
        <v>0</v>
      </c>
      <c r="O629" s="3">
        <f>0+[1]táj.2!O629</f>
        <v>0</v>
      </c>
      <c r="P629" s="3">
        <f>0+[1]táj.2!P629</f>
        <v>0</v>
      </c>
      <c r="Q629" s="7"/>
    </row>
    <row r="630" spans="1:17" ht="17.100000000000001" hidden="1" customHeight="1" x14ac:dyDescent="0.2">
      <c r="A630" s="162"/>
      <c r="B630" s="162"/>
      <c r="C630" s="254"/>
      <c r="D630" s="645" t="s">
        <v>1234</v>
      </c>
      <c r="E630" s="187"/>
      <c r="F630" s="187"/>
      <c r="G630" s="3">
        <f>0+[1]táj.2!G630</f>
        <v>0</v>
      </c>
      <c r="H630" s="3">
        <f>0+[1]táj.2!H630</f>
        <v>0</v>
      </c>
      <c r="I630" s="3">
        <f>0+[1]táj.2!I630</f>
        <v>0</v>
      </c>
      <c r="J630" s="3">
        <f>0+[1]táj.2!J630</f>
        <v>0</v>
      </c>
      <c r="K630" s="3">
        <f>0+[1]táj.2!K630</f>
        <v>0</v>
      </c>
      <c r="L630" s="3">
        <f>0+[1]táj.2!L630</f>
        <v>0</v>
      </c>
      <c r="M630" s="3">
        <f>0+[1]táj.2!M630</f>
        <v>0</v>
      </c>
      <c r="N630" s="3">
        <f>0+[1]táj.2!N630</f>
        <v>0</v>
      </c>
      <c r="O630" s="3">
        <f>0+[1]táj.2!O630</f>
        <v>0</v>
      </c>
      <c r="P630" s="3">
        <f>0+[1]táj.2!P630</f>
        <v>0</v>
      </c>
      <c r="Q630" s="7"/>
    </row>
    <row r="631" spans="1:17" ht="17.100000000000001" hidden="1" customHeight="1" x14ac:dyDescent="0.2">
      <c r="A631" s="162"/>
      <c r="B631" s="162"/>
      <c r="C631" s="254"/>
      <c r="D631" s="645" t="s">
        <v>1235</v>
      </c>
      <c r="E631" s="187"/>
      <c r="F631" s="187"/>
      <c r="G631" s="3">
        <f>0+[1]táj.2!G631</f>
        <v>0</v>
      </c>
      <c r="H631" s="3">
        <f>0+[1]táj.2!H631</f>
        <v>0</v>
      </c>
      <c r="I631" s="3">
        <f>0+[1]táj.2!I631</f>
        <v>0</v>
      </c>
      <c r="J631" s="3">
        <f>0+[1]táj.2!J631</f>
        <v>0</v>
      </c>
      <c r="K631" s="3">
        <f>0+[1]táj.2!K631</f>
        <v>0</v>
      </c>
      <c r="L631" s="3">
        <f>0+[1]táj.2!L631</f>
        <v>0</v>
      </c>
      <c r="M631" s="3">
        <f>0+[1]táj.2!M631</f>
        <v>0</v>
      </c>
      <c r="N631" s="3">
        <f>0+[1]táj.2!N631</f>
        <v>0</v>
      </c>
      <c r="O631" s="3">
        <f>0+[1]táj.2!O631</f>
        <v>0</v>
      </c>
      <c r="P631" s="3">
        <f>0+[1]táj.2!P631</f>
        <v>0</v>
      </c>
      <c r="Q631" s="7"/>
    </row>
    <row r="632" spans="1:17" ht="17.100000000000001" hidden="1" customHeight="1" x14ac:dyDescent="0.2">
      <c r="A632" s="162"/>
      <c r="B632" s="162"/>
      <c r="C632" s="254"/>
      <c r="D632" s="645" t="s">
        <v>1236</v>
      </c>
      <c r="E632" s="187"/>
      <c r="F632" s="187"/>
      <c r="G632" s="3">
        <f>0+[1]táj.2!G632</f>
        <v>0</v>
      </c>
      <c r="H632" s="3">
        <f>0+[1]táj.2!H632</f>
        <v>0</v>
      </c>
      <c r="I632" s="3">
        <f>0+[1]táj.2!I632</f>
        <v>0</v>
      </c>
      <c r="J632" s="3">
        <f>0+[1]táj.2!J632</f>
        <v>0</v>
      </c>
      <c r="K632" s="3">
        <f>0+[1]táj.2!K632</f>
        <v>0</v>
      </c>
      <c r="L632" s="3">
        <f>0+[1]táj.2!L632</f>
        <v>0</v>
      </c>
      <c r="M632" s="3">
        <f>0+[1]táj.2!M632</f>
        <v>0</v>
      </c>
      <c r="N632" s="3">
        <f>0+[1]táj.2!N632</f>
        <v>0</v>
      </c>
      <c r="O632" s="3">
        <f>0+[1]táj.2!O632</f>
        <v>0</v>
      </c>
      <c r="P632" s="3">
        <f>0+[1]táj.2!P632</f>
        <v>0</v>
      </c>
      <c r="Q632" s="7"/>
    </row>
    <row r="633" spans="1:17" ht="17.100000000000001" hidden="1" customHeight="1" x14ac:dyDescent="0.2">
      <c r="A633" s="162"/>
      <c r="B633" s="162"/>
      <c r="C633" s="254"/>
      <c r="D633" s="645" t="s">
        <v>1237</v>
      </c>
      <c r="E633" s="187"/>
      <c r="F633" s="187"/>
      <c r="G633" s="3">
        <f>0+[1]táj.2!G633</f>
        <v>0</v>
      </c>
      <c r="H633" s="3">
        <f>0+[1]táj.2!H633</f>
        <v>0</v>
      </c>
      <c r="I633" s="3">
        <f>0+[1]táj.2!I633</f>
        <v>0</v>
      </c>
      <c r="J633" s="3">
        <f>0+[1]táj.2!J633</f>
        <v>0</v>
      </c>
      <c r="K633" s="3">
        <f>0+[1]táj.2!K633</f>
        <v>0</v>
      </c>
      <c r="L633" s="3">
        <f>0+[1]táj.2!L633</f>
        <v>0</v>
      </c>
      <c r="M633" s="3">
        <f>0+[1]táj.2!M633</f>
        <v>0</v>
      </c>
      <c r="N633" s="3">
        <f>0+[1]táj.2!N633</f>
        <v>0</v>
      </c>
      <c r="O633" s="3">
        <f>0+[1]táj.2!O633</f>
        <v>0</v>
      </c>
      <c r="P633" s="3">
        <f>0+[1]táj.2!P633</f>
        <v>0</v>
      </c>
      <c r="Q633" s="7"/>
    </row>
    <row r="634" spans="1:17" ht="17.100000000000001" hidden="1" customHeight="1" x14ac:dyDescent="0.2">
      <c r="A634" s="162"/>
      <c r="B634" s="162"/>
      <c r="C634" s="254"/>
      <c r="D634" s="645" t="s">
        <v>1238</v>
      </c>
      <c r="E634" s="187"/>
      <c r="F634" s="187"/>
      <c r="G634" s="3">
        <f>0+[1]táj.2!G634</f>
        <v>0</v>
      </c>
      <c r="H634" s="3">
        <f>0+[1]táj.2!H634</f>
        <v>0</v>
      </c>
      <c r="I634" s="3">
        <f>0+[1]táj.2!I634</f>
        <v>0</v>
      </c>
      <c r="J634" s="3">
        <f>0+[1]táj.2!J634</f>
        <v>0</v>
      </c>
      <c r="K634" s="3">
        <f>0+[1]táj.2!K634</f>
        <v>0</v>
      </c>
      <c r="L634" s="3">
        <f>0+[1]táj.2!L634</f>
        <v>0</v>
      </c>
      <c r="M634" s="3">
        <f>0+[1]táj.2!M634</f>
        <v>0</v>
      </c>
      <c r="N634" s="3">
        <f>0+[1]táj.2!N634</f>
        <v>0</v>
      </c>
      <c r="O634" s="3">
        <f>0+[1]táj.2!O634</f>
        <v>0</v>
      </c>
      <c r="P634" s="3">
        <f>0+[1]táj.2!P634</f>
        <v>0</v>
      </c>
      <c r="Q634" s="7"/>
    </row>
    <row r="635" spans="1:17" ht="17.100000000000001" hidden="1" customHeight="1" x14ac:dyDescent="0.2">
      <c r="A635" s="162"/>
      <c r="B635" s="162"/>
      <c r="C635" s="254"/>
      <c r="D635" s="645" t="s">
        <v>1239</v>
      </c>
      <c r="E635" s="187"/>
      <c r="F635" s="187"/>
      <c r="G635" s="3">
        <f>0+[1]táj.2!G635</f>
        <v>0</v>
      </c>
      <c r="H635" s="3">
        <f>0+[1]táj.2!H635</f>
        <v>0</v>
      </c>
      <c r="I635" s="3">
        <f>0+[1]táj.2!I635</f>
        <v>0</v>
      </c>
      <c r="J635" s="3">
        <f>0+[1]táj.2!J635</f>
        <v>0</v>
      </c>
      <c r="K635" s="3">
        <f>0+[1]táj.2!K635</f>
        <v>0</v>
      </c>
      <c r="L635" s="3">
        <f>0+[1]táj.2!L635</f>
        <v>0</v>
      </c>
      <c r="M635" s="3">
        <f>0+[1]táj.2!M635</f>
        <v>0</v>
      </c>
      <c r="N635" s="3">
        <f>0+[1]táj.2!N635</f>
        <v>0</v>
      </c>
      <c r="O635" s="3">
        <f>0+[1]táj.2!O635</f>
        <v>0</v>
      </c>
      <c r="P635" s="3">
        <f>0+[1]táj.2!P635</f>
        <v>0</v>
      </c>
      <c r="Q635" s="7"/>
    </row>
    <row r="636" spans="1:17" ht="17.100000000000001" hidden="1" customHeight="1" x14ac:dyDescent="0.2">
      <c r="A636" s="162"/>
      <c r="B636" s="162"/>
      <c r="C636" s="254"/>
      <c r="D636" s="645" t="s">
        <v>1240</v>
      </c>
      <c r="E636" s="187"/>
      <c r="F636" s="187"/>
      <c r="G636" s="3">
        <f>0+[1]táj.2!G636</f>
        <v>0</v>
      </c>
      <c r="H636" s="3">
        <f>0+[1]táj.2!H636</f>
        <v>0</v>
      </c>
      <c r="I636" s="3">
        <f>0+[1]táj.2!I636</f>
        <v>0</v>
      </c>
      <c r="J636" s="3">
        <f>0+[1]táj.2!J636</f>
        <v>0</v>
      </c>
      <c r="K636" s="3">
        <f>0+[1]táj.2!K636</f>
        <v>0</v>
      </c>
      <c r="L636" s="3">
        <f>0+[1]táj.2!L636</f>
        <v>0</v>
      </c>
      <c r="M636" s="3">
        <f>0+[1]táj.2!M636</f>
        <v>0</v>
      </c>
      <c r="N636" s="3">
        <f>0+[1]táj.2!N636</f>
        <v>0</v>
      </c>
      <c r="O636" s="3">
        <f>0+[1]táj.2!O636</f>
        <v>0</v>
      </c>
      <c r="P636" s="3">
        <f>0+[1]táj.2!P636</f>
        <v>0</v>
      </c>
      <c r="Q636" s="7"/>
    </row>
    <row r="637" spans="1:17" ht="27" hidden="1" customHeight="1" x14ac:dyDescent="0.2">
      <c r="A637" s="162"/>
      <c r="B637" s="162"/>
      <c r="C637" s="254"/>
      <c r="D637" s="645" t="s">
        <v>1241</v>
      </c>
      <c r="E637" s="187"/>
      <c r="F637" s="187"/>
      <c r="G637" s="3">
        <f>0+[1]táj.2!G637</f>
        <v>0</v>
      </c>
      <c r="H637" s="3">
        <f>0+[1]táj.2!H637</f>
        <v>0</v>
      </c>
      <c r="I637" s="3">
        <f>0+[1]táj.2!I637</f>
        <v>0</v>
      </c>
      <c r="J637" s="3">
        <f>0+[1]táj.2!J637</f>
        <v>0</v>
      </c>
      <c r="K637" s="3">
        <f>0+[1]táj.2!K637</f>
        <v>0</v>
      </c>
      <c r="L637" s="3">
        <f>0+[1]táj.2!L637</f>
        <v>0</v>
      </c>
      <c r="M637" s="3">
        <f>0+[1]táj.2!M637</f>
        <v>0</v>
      </c>
      <c r="N637" s="3">
        <f>0+[1]táj.2!N637</f>
        <v>0</v>
      </c>
      <c r="O637" s="3">
        <f>0+[1]táj.2!O637</f>
        <v>0</v>
      </c>
      <c r="P637" s="3">
        <f>0+[1]táj.2!P637</f>
        <v>0</v>
      </c>
      <c r="Q637" s="7"/>
    </row>
    <row r="638" spans="1:17" ht="27.75" hidden="1" customHeight="1" x14ac:dyDescent="0.2">
      <c r="A638" s="162"/>
      <c r="B638" s="162"/>
      <c r="C638" s="254"/>
      <c r="D638" s="645" t="s">
        <v>1242</v>
      </c>
      <c r="E638" s="187"/>
      <c r="F638" s="187"/>
      <c r="G638" s="3">
        <f>0+[1]táj.2!G638</f>
        <v>0</v>
      </c>
      <c r="H638" s="3">
        <f>0+[1]táj.2!H638</f>
        <v>0</v>
      </c>
      <c r="I638" s="3">
        <f>0+[1]táj.2!I638</f>
        <v>0</v>
      </c>
      <c r="J638" s="3">
        <f>0+[1]táj.2!J638</f>
        <v>0</v>
      </c>
      <c r="K638" s="3">
        <f>0+[1]táj.2!K638</f>
        <v>0</v>
      </c>
      <c r="L638" s="3">
        <f>0+[1]táj.2!L638</f>
        <v>0</v>
      </c>
      <c r="M638" s="3">
        <f>0+[1]táj.2!M638</f>
        <v>0</v>
      </c>
      <c r="N638" s="3">
        <f>0+[1]táj.2!N638</f>
        <v>0</v>
      </c>
      <c r="O638" s="3">
        <f>0+[1]táj.2!O638</f>
        <v>0</v>
      </c>
      <c r="P638" s="3">
        <f>0+[1]táj.2!P638</f>
        <v>0</v>
      </c>
      <c r="Q638" s="7"/>
    </row>
    <row r="639" spans="1:17" ht="25.5" hidden="1" customHeight="1" x14ac:dyDescent="0.2">
      <c r="A639" s="162"/>
      <c r="B639" s="162"/>
      <c r="C639" s="254"/>
      <c r="D639" s="645" t="s">
        <v>1243</v>
      </c>
      <c r="E639" s="187"/>
      <c r="F639" s="187"/>
      <c r="G639" s="3">
        <f>0+[1]táj.2!G639</f>
        <v>0</v>
      </c>
      <c r="H639" s="3">
        <f>0+[1]táj.2!H639</f>
        <v>0</v>
      </c>
      <c r="I639" s="3">
        <f>0+[1]táj.2!I639</f>
        <v>0</v>
      </c>
      <c r="J639" s="3">
        <f>0+[1]táj.2!J639</f>
        <v>0</v>
      </c>
      <c r="K639" s="3">
        <f>0+[1]táj.2!K639</f>
        <v>0</v>
      </c>
      <c r="L639" s="3">
        <f>0+[1]táj.2!L639</f>
        <v>0</v>
      </c>
      <c r="M639" s="3">
        <f>0+[1]táj.2!M639</f>
        <v>0</v>
      </c>
      <c r="N639" s="3">
        <f>0+[1]táj.2!N639</f>
        <v>0</v>
      </c>
      <c r="O639" s="3">
        <f>0+[1]táj.2!O639</f>
        <v>0</v>
      </c>
      <c r="P639" s="3">
        <f>0+[1]táj.2!P639</f>
        <v>0</v>
      </c>
      <c r="Q639" s="7"/>
    </row>
    <row r="640" spans="1:17" ht="15" hidden="1" customHeight="1" x14ac:dyDescent="0.2">
      <c r="A640" s="162"/>
      <c r="B640" s="162"/>
      <c r="C640" s="254"/>
      <c r="D640" s="645" t="s">
        <v>1244</v>
      </c>
      <c r="E640" s="187"/>
      <c r="F640" s="187"/>
      <c r="G640" s="3">
        <f>0+[1]táj.2!G640</f>
        <v>0</v>
      </c>
      <c r="H640" s="3">
        <f>0+[1]táj.2!H640</f>
        <v>0</v>
      </c>
      <c r="I640" s="3">
        <f>0+[1]táj.2!I640</f>
        <v>0</v>
      </c>
      <c r="J640" s="3">
        <f>0+[1]táj.2!J640</f>
        <v>0</v>
      </c>
      <c r="K640" s="3">
        <f>0+[1]táj.2!K640</f>
        <v>0</v>
      </c>
      <c r="L640" s="3">
        <f>0+[1]táj.2!L640</f>
        <v>0</v>
      </c>
      <c r="M640" s="3">
        <f>0+[1]táj.2!M640</f>
        <v>0</v>
      </c>
      <c r="N640" s="3">
        <f>0+[1]táj.2!N640</f>
        <v>0</v>
      </c>
      <c r="O640" s="3">
        <f>0+[1]táj.2!O640</f>
        <v>0</v>
      </c>
      <c r="P640" s="3">
        <f>0+[1]táj.2!P640</f>
        <v>0</v>
      </c>
      <c r="Q640" s="7"/>
    </row>
    <row r="641" spans="1:17" ht="27.75" hidden="1" customHeight="1" x14ac:dyDescent="0.2">
      <c r="A641" s="162"/>
      <c r="B641" s="162"/>
      <c r="C641" s="254"/>
      <c r="D641" s="645" t="s">
        <v>1245</v>
      </c>
      <c r="E641" s="187"/>
      <c r="F641" s="187"/>
      <c r="G641" s="3">
        <f>0+[1]táj.2!G641</f>
        <v>0</v>
      </c>
      <c r="H641" s="3">
        <f>0+[1]táj.2!H641</f>
        <v>0</v>
      </c>
      <c r="I641" s="3">
        <f>0+[1]táj.2!I641</f>
        <v>0</v>
      </c>
      <c r="J641" s="3">
        <f>0+[1]táj.2!J641</f>
        <v>0</v>
      </c>
      <c r="K641" s="3">
        <f>0+[1]táj.2!K641</f>
        <v>0</v>
      </c>
      <c r="L641" s="3">
        <f>0+[1]táj.2!L641</f>
        <v>0</v>
      </c>
      <c r="M641" s="3">
        <f>0+[1]táj.2!M641</f>
        <v>0</v>
      </c>
      <c r="N641" s="3">
        <f>0+[1]táj.2!N641</f>
        <v>0</v>
      </c>
      <c r="O641" s="3">
        <f>0+[1]táj.2!O641</f>
        <v>0</v>
      </c>
      <c r="P641" s="3">
        <f>0+[1]táj.2!P641</f>
        <v>0</v>
      </c>
      <c r="Q641" s="7"/>
    </row>
    <row r="642" spans="1:17" ht="16.5" customHeight="1" x14ac:dyDescent="0.2">
      <c r="A642" s="162"/>
      <c r="B642" s="162"/>
      <c r="C642" s="618" t="s">
        <v>1246</v>
      </c>
      <c r="D642" s="625" t="s">
        <v>1247</v>
      </c>
      <c r="E642" s="289"/>
      <c r="F642" s="18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7"/>
    </row>
    <row r="643" spans="1:17" ht="27" customHeight="1" x14ac:dyDescent="0.2">
      <c r="A643" s="162"/>
      <c r="B643" s="162"/>
      <c r="C643" s="254" t="s">
        <v>1248</v>
      </c>
      <c r="D643" s="137" t="s">
        <v>1249</v>
      </c>
      <c r="E643" s="289"/>
      <c r="F643" s="187">
        <v>163621</v>
      </c>
      <c r="G643" s="3">
        <f>514+[1]táj.2!G643</f>
        <v>514</v>
      </c>
      <c r="H643" s="3">
        <f>121+[1]táj.2!H643</f>
        <v>121</v>
      </c>
      <c r="I643" s="3">
        <f>880697+[1]táj.2!I643</f>
        <v>880697</v>
      </c>
      <c r="J643" s="3">
        <f>0+[1]táj.2!J643</f>
        <v>0</v>
      </c>
      <c r="K643" s="3">
        <f>0+[1]táj.2!K643</f>
        <v>0</v>
      </c>
      <c r="L643" s="3">
        <f>8492048+[1]táj.2!L643</f>
        <v>8492048</v>
      </c>
      <c r="M643" s="3">
        <f>1735794+[1]táj.2!M643</f>
        <v>1735794</v>
      </c>
      <c r="N643" s="3">
        <f>0+[1]táj.2!N643</f>
        <v>0</v>
      </c>
      <c r="O643" s="3">
        <f>0+[1]táj.2!O643</f>
        <v>0</v>
      </c>
      <c r="P643" s="3">
        <f>0+[1]táj.2!P643</f>
        <v>0</v>
      </c>
      <c r="Q643" s="7">
        <f t="shared" ref="Q643:Q648" si="35">SUM(G643:P643)</f>
        <v>11109174</v>
      </c>
    </row>
    <row r="644" spans="1:17" ht="16.5" customHeight="1" x14ac:dyDescent="0.2">
      <c r="A644" s="162"/>
      <c r="B644" s="162"/>
      <c r="C644" s="254" t="s">
        <v>1250</v>
      </c>
      <c r="D644" s="258" t="s">
        <v>1251</v>
      </c>
      <c r="E644" s="289"/>
      <c r="F644" s="187">
        <v>162687</v>
      </c>
      <c r="G644" s="3">
        <f>0+[1]táj.2!G644</f>
        <v>0</v>
      </c>
      <c r="H644" s="3">
        <f>0+[1]táj.2!H644</f>
        <v>0</v>
      </c>
      <c r="I644" s="3">
        <f>2451376+[1]táj.2!I644</f>
        <v>2451376</v>
      </c>
      <c r="J644" s="3">
        <f>0+[1]táj.2!J644</f>
        <v>0</v>
      </c>
      <c r="K644" s="3">
        <f>0+[1]táj.2!K644</f>
        <v>0</v>
      </c>
      <c r="L644" s="3">
        <f>7899716+[1]táj.2!L644</f>
        <v>7899716</v>
      </c>
      <c r="M644" s="3">
        <f>413993+[1]táj.2!M644</f>
        <v>413993</v>
      </c>
      <c r="N644" s="3">
        <f>0+[1]táj.2!N644</f>
        <v>0</v>
      </c>
      <c r="O644" s="3">
        <f>0+[1]táj.2!O644</f>
        <v>0</v>
      </c>
      <c r="P644" s="3">
        <f>0+[1]táj.2!P644</f>
        <v>0</v>
      </c>
      <c r="Q644" s="7">
        <f t="shared" si="35"/>
        <v>10765085</v>
      </c>
    </row>
    <row r="645" spans="1:17" ht="27.75" customHeight="1" x14ac:dyDescent="0.2">
      <c r="A645" s="162"/>
      <c r="B645" s="162"/>
      <c r="C645" s="254" t="s">
        <v>1252</v>
      </c>
      <c r="D645" s="137" t="s">
        <v>1253</v>
      </c>
      <c r="E645" s="289"/>
      <c r="F645" s="187">
        <v>163702</v>
      </c>
      <c r="G645" s="3">
        <f>0+[1]táj.2!G645</f>
        <v>0</v>
      </c>
      <c r="H645" s="3">
        <f>0+[1]táj.2!H645</f>
        <v>0</v>
      </c>
      <c r="I645" s="3">
        <f>327153+[1]táj.2!I645</f>
        <v>327153</v>
      </c>
      <c r="J645" s="3">
        <f>0+[1]táj.2!J645</f>
        <v>0</v>
      </c>
      <c r="K645" s="3">
        <f>0+[1]táj.2!K645</f>
        <v>0</v>
      </c>
      <c r="L645" s="3">
        <f>1249681+[1]táj.2!L645</f>
        <v>1249681</v>
      </c>
      <c r="M645" s="3">
        <f>0+[1]táj.2!M645</f>
        <v>0</v>
      </c>
      <c r="N645" s="3">
        <f>0+[1]táj.2!N645</f>
        <v>0</v>
      </c>
      <c r="O645" s="3">
        <f>0+[1]táj.2!O645</f>
        <v>0</v>
      </c>
      <c r="P645" s="3">
        <f>0+[1]táj.2!P645</f>
        <v>0</v>
      </c>
      <c r="Q645" s="7">
        <f t="shared" si="35"/>
        <v>1576834</v>
      </c>
    </row>
    <row r="646" spans="1:17" ht="27.75" customHeight="1" x14ac:dyDescent="0.2">
      <c r="A646" s="162"/>
      <c r="B646" s="162"/>
      <c r="C646" s="254" t="s">
        <v>1254</v>
      </c>
      <c r="D646" s="137" t="s">
        <v>1255</v>
      </c>
      <c r="E646" s="289"/>
      <c r="F646" s="187">
        <v>162677</v>
      </c>
      <c r="G646" s="3">
        <f>0+[1]táj.2!G646</f>
        <v>0</v>
      </c>
      <c r="H646" s="3">
        <f>0+[1]táj.2!H646</f>
        <v>0</v>
      </c>
      <c r="I646" s="3">
        <f>0+[1]táj.2!I646</f>
        <v>0</v>
      </c>
      <c r="J646" s="3">
        <f>0+[1]táj.2!J646</f>
        <v>0</v>
      </c>
      <c r="K646" s="3">
        <f>65858+[1]táj.2!K646</f>
        <v>65858</v>
      </c>
      <c r="L646" s="3">
        <f>0+[1]táj.2!L646</f>
        <v>0</v>
      </c>
      <c r="M646" s="3">
        <f>0+[1]táj.2!M646</f>
        <v>0</v>
      </c>
      <c r="N646" s="3">
        <f>0+[1]táj.2!N646</f>
        <v>0</v>
      </c>
      <c r="O646" s="3">
        <f>0+[1]táj.2!O646</f>
        <v>0</v>
      </c>
      <c r="P646" s="3">
        <f>0+[1]táj.2!P646</f>
        <v>0</v>
      </c>
      <c r="Q646" s="7">
        <f t="shared" si="35"/>
        <v>65858</v>
      </c>
    </row>
    <row r="647" spans="1:17" ht="27.75" customHeight="1" x14ac:dyDescent="0.2">
      <c r="A647" s="162"/>
      <c r="B647" s="162"/>
      <c r="C647" s="254" t="s">
        <v>1256</v>
      </c>
      <c r="D647" s="137" t="s">
        <v>1257</v>
      </c>
      <c r="E647" s="596"/>
      <c r="F647" s="187">
        <v>163641</v>
      </c>
      <c r="G647" s="3">
        <f>0+[1]táj.2!G647</f>
        <v>0</v>
      </c>
      <c r="H647" s="3">
        <f>0+[1]táj.2!H647</f>
        <v>0</v>
      </c>
      <c r="I647" s="3">
        <f>0+[1]táj.2!I647</f>
        <v>0</v>
      </c>
      <c r="J647" s="3">
        <f>0+[1]táj.2!J647</f>
        <v>0</v>
      </c>
      <c r="K647" s="3">
        <f>0+[1]táj.2!K647</f>
        <v>0</v>
      </c>
      <c r="L647" s="3">
        <f>0+[1]táj.2!L647</f>
        <v>0</v>
      </c>
      <c r="M647" s="3">
        <f>255358+[1]táj.2!M647</f>
        <v>255358</v>
      </c>
      <c r="N647" s="3">
        <f>0+[1]táj.2!N647</f>
        <v>0</v>
      </c>
      <c r="O647" s="3">
        <f>0+[1]táj.2!O647</f>
        <v>0</v>
      </c>
      <c r="P647" s="3">
        <f>0+[1]táj.2!P647</f>
        <v>0</v>
      </c>
      <c r="Q647" s="7">
        <f t="shared" si="35"/>
        <v>255358</v>
      </c>
    </row>
    <row r="648" spans="1:17" ht="27.75" customHeight="1" x14ac:dyDescent="0.2">
      <c r="A648" s="162"/>
      <c r="B648" s="162"/>
      <c r="C648" s="254" t="s">
        <v>1258</v>
      </c>
      <c r="D648" s="623" t="s">
        <v>1259</v>
      </c>
      <c r="E648" s="596"/>
      <c r="F648" s="187">
        <v>163644</v>
      </c>
      <c r="G648" s="3">
        <f>0+[1]táj.2!G648</f>
        <v>0</v>
      </c>
      <c r="H648" s="3">
        <f>0+[1]táj.2!H648</f>
        <v>0</v>
      </c>
      <c r="I648" s="3">
        <f>6801+[1]táj.2!I648</f>
        <v>6801</v>
      </c>
      <c r="J648" s="3">
        <f>0+[1]táj.2!J648</f>
        <v>0</v>
      </c>
      <c r="K648" s="3">
        <f>0+[1]táj.2!K648</f>
        <v>0</v>
      </c>
      <c r="L648" s="3">
        <f>707144+[1]táj.2!L648</f>
        <v>707144</v>
      </c>
      <c r="M648" s="3">
        <f>0+[1]táj.2!M648</f>
        <v>0</v>
      </c>
      <c r="N648" s="3">
        <f>0+[1]táj.2!N648</f>
        <v>0</v>
      </c>
      <c r="O648" s="3">
        <f>0+[1]táj.2!O648</f>
        <v>0</v>
      </c>
      <c r="P648" s="3">
        <f>0+[1]táj.2!P648</f>
        <v>0</v>
      </c>
      <c r="Q648" s="7">
        <f t="shared" si="35"/>
        <v>713945</v>
      </c>
    </row>
    <row r="649" spans="1:17" ht="20.25" customHeight="1" x14ac:dyDescent="0.2">
      <c r="A649" s="162"/>
      <c r="B649" s="162"/>
      <c r="C649" s="618" t="s">
        <v>1260</v>
      </c>
      <c r="D649" s="626" t="s">
        <v>1261</v>
      </c>
      <c r="E649" s="289"/>
      <c r="F649" s="18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7"/>
    </row>
    <row r="650" spans="1:17" ht="18.75" customHeight="1" x14ac:dyDescent="0.2">
      <c r="A650" s="162"/>
      <c r="B650" s="162"/>
      <c r="C650" s="618"/>
      <c r="D650" s="247" t="s">
        <v>584</v>
      </c>
      <c r="E650" s="289"/>
      <c r="F650" s="18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7"/>
    </row>
    <row r="651" spans="1:17" ht="27.75" customHeight="1" x14ac:dyDescent="0.2">
      <c r="A651" s="162"/>
      <c r="B651" s="162"/>
      <c r="C651" s="237" t="s">
        <v>1262</v>
      </c>
      <c r="D651" s="137" t="s">
        <v>120</v>
      </c>
      <c r="E651" s="596"/>
      <c r="F651" s="187">
        <v>163643</v>
      </c>
      <c r="G651" s="3">
        <f>1692+[1]táj.2!G651</f>
        <v>1692</v>
      </c>
      <c r="H651" s="3">
        <f>330+[1]táj.2!H651</f>
        <v>330</v>
      </c>
      <c r="I651" s="3">
        <f>2456+[1]táj.2!I651</f>
        <v>2456</v>
      </c>
      <c r="J651" s="3">
        <f>0+[1]táj.2!J651</f>
        <v>0</v>
      </c>
      <c r="K651" s="3">
        <f>0+[1]táj.2!K651</f>
        <v>0</v>
      </c>
      <c r="L651" s="3">
        <f>0+[1]táj.2!L651</f>
        <v>0</v>
      </c>
      <c r="M651" s="3">
        <f>0+[1]táj.2!M651</f>
        <v>0</v>
      </c>
      <c r="N651" s="3">
        <f>0+[1]táj.2!N651</f>
        <v>0</v>
      </c>
      <c r="O651" s="3">
        <f>0+[1]táj.2!O651</f>
        <v>0</v>
      </c>
      <c r="P651" s="3">
        <f>0+[1]táj.2!P651</f>
        <v>0</v>
      </c>
      <c r="Q651" s="7">
        <f>SUM(G651:P651)</f>
        <v>4478</v>
      </c>
    </row>
    <row r="652" spans="1:17" ht="39.75" customHeight="1" x14ac:dyDescent="0.2">
      <c r="A652" s="162"/>
      <c r="B652" s="162"/>
      <c r="C652" s="237" t="s">
        <v>1263</v>
      </c>
      <c r="D652" s="137" t="s">
        <v>1264</v>
      </c>
      <c r="E652" s="596"/>
      <c r="F652" s="187">
        <v>163645</v>
      </c>
      <c r="G652" s="3">
        <f>418+[1]táj.2!G652</f>
        <v>418</v>
      </c>
      <c r="H652" s="3">
        <f>82+[1]táj.2!H652</f>
        <v>82</v>
      </c>
      <c r="I652" s="3">
        <f>18547+[1]táj.2!I652</f>
        <v>18547</v>
      </c>
      <c r="J652" s="3">
        <f>0+[1]táj.2!J652</f>
        <v>0</v>
      </c>
      <c r="K652" s="3">
        <f>0+[1]táj.2!K652</f>
        <v>0</v>
      </c>
      <c r="L652" s="3">
        <f>0+[1]táj.2!L652</f>
        <v>0</v>
      </c>
      <c r="M652" s="3">
        <f>0+[1]táj.2!M652</f>
        <v>0</v>
      </c>
      <c r="N652" s="3">
        <f>0+[1]táj.2!N652</f>
        <v>0</v>
      </c>
      <c r="O652" s="3">
        <f>0+[1]táj.2!O652</f>
        <v>0</v>
      </c>
      <c r="P652" s="3">
        <f>0+[1]táj.2!P652</f>
        <v>0</v>
      </c>
      <c r="Q652" s="7">
        <f>SUM(G652:P652)</f>
        <v>19047</v>
      </c>
    </row>
    <row r="653" spans="1:17" ht="27.75" customHeight="1" x14ac:dyDescent="0.2">
      <c r="A653" s="162"/>
      <c r="B653" s="162"/>
      <c r="C653" s="237" t="s">
        <v>1265</v>
      </c>
      <c r="D653" s="141" t="s">
        <v>276</v>
      </c>
      <c r="E653" s="289"/>
      <c r="F653" s="187">
        <v>163700</v>
      </c>
      <c r="G653" s="3">
        <f>13421+[1]táj.2!G653</f>
        <v>13421</v>
      </c>
      <c r="H653" s="3">
        <f>2990+[1]táj.2!H653</f>
        <v>2990</v>
      </c>
      <c r="I653" s="3">
        <f>19575+[1]táj.2!I653</f>
        <v>19575</v>
      </c>
      <c r="J653" s="3">
        <f>0+[1]táj.2!J653</f>
        <v>0</v>
      </c>
      <c r="K653" s="3">
        <f>0+[1]táj.2!K653</f>
        <v>0</v>
      </c>
      <c r="L653" s="3">
        <f>0+[1]táj.2!L653</f>
        <v>0</v>
      </c>
      <c r="M653" s="3">
        <f>0+[1]táj.2!M653</f>
        <v>0</v>
      </c>
      <c r="N653" s="3">
        <f>0+[1]táj.2!N653</f>
        <v>0</v>
      </c>
      <c r="O653" s="3">
        <f>0+[1]táj.2!O653</f>
        <v>0</v>
      </c>
      <c r="P653" s="3">
        <f>0+[1]táj.2!P653</f>
        <v>0</v>
      </c>
      <c r="Q653" s="7">
        <f>SUM(G653:P653)</f>
        <v>35986</v>
      </c>
    </row>
    <row r="654" spans="1:17" ht="17.25" customHeight="1" x14ac:dyDescent="0.2">
      <c r="A654" s="162"/>
      <c r="B654" s="162"/>
      <c r="C654" s="237" t="s">
        <v>1266</v>
      </c>
      <c r="D654" s="137" t="s">
        <v>338</v>
      </c>
      <c r="E654" s="596"/>
      <c r="F654" s="187">
        <v>162607</v>
      </c>
      <c r="G654" s="3">
        <f>2213+[1]táj.2!G654</f>
        <v>2213</v>
      </c>
      <c r="H654" s="3">
        <f>544+[1]táj.2!H654</f>
        <v>544</v>
      </c>
      <c r="I654" s="3">
        <f>1570+[1]táj.2!I654</f>
        <v>1570</v>
      </c>
      <c r="J654" s="3">
        <f>0+[1]táj.2!J654</f>
        <v>0</v>
      </c>
      <c r="K654" s="3">
        <f>0+[1]táj.2!K654</f>
        <v>0</v>
      </c>
      <c r="L654" s="3">
        <f>1007+[1]táj.2!L654</f>
        <v>1007</v>
      </c>
      <c r="M654" s="3">
        <f>0+[1]táj.2!M654</f>
        <v>0</v>
      </c>
      <c r="N654" s="3">
        <f>0+[1]táj.2!N654</f>
        <v>0</v>
      </c>
      <c r="O654" s="3">
        <f>0+[1]táj.2!O654</f>
        <v>0</v>
      </c>
      <c r="P654" s="3">
        <f>0+[1]táj.2!P654</f>
        <v>0</v>
      </c>
      <c r="Q654" s="7">
        <f>SUM(G654:P654)</f>
        <v>5334</v>
      </c>
    </row>
    <row r="655" spans="1:17" ht="18.75" customHeight="1" x14ac:dyDescent="0.2">
      <c r="A655" s="162"/>
      <c r="B655" s="162"/>
      <c r="C655" s="619" t="s">
        <v>1267</v>
      </c>
      <c r="D655" s="626" t="s">
        <v>1268</v>
      </c>
      <c r="E655" s="289"/>
      <c r="F655" s="18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7"/>
    </row>
    <row r="656" spans="1:17" ht="18.75" customHeight="1" x14ac:dyDescent="0.2">
      <c r="A656" s="162"/>
      <c r="B656" s="162"/>
      <c r="C656" s="178" t="s">
        <v>1269</v>
      </c>
      <c r="D656" s="137" t="s">
        <v>1270</v>
      </c>
      <c r="E656" s="289"/>
      <c r="F656" s="187">
        <v>162944</v>
      </c>
      <c r="G656" s="3">
        <f>0+[1]táj.2!G656</f>
        <v>0</v>
      </c>
      <c r="H656" s="3">
        <f>0+[1]táj.2!H656</f>
        <v>0</v>
      </c>
      <c r="I656" s="3">
        <f>0+[1]táj.2!I656</f>
        <v>0</v>
      </c>
      <c r="J656" s="3">
        <f>0+[1]táj.2!J656</f>
        <v>0</v>
      </c>
      <c r="K656" s="3">
        <f>0+[1]táj.2!K656</f>
        <v>0</v>
      </c>
      <c r="L656" s="3">
        <f>0+[1]táj.2!L656</f>
        <v>0</v>
      </c>
      <c r="M656" s="3">
        <f>0+[1]táj.2!M656</f>
        <v>0</v>
      </c>
      <c r="N656" s="3">
        <f>6500+[1]táj.2!N656</f>
        <v>6500</v>
      </c>
      <c r="O656" s="3">
        <f>0+[1]táj.2!O656</f>
        <v>0</v>
      </c>
      <c r="P656" s="3">
        <f>0+[1]táj.2!P656</f>
        <v>0</v>
      </c>
      <c r="Q656" s="7">
        <f>SUM(G656:P656)</f>
        <v>6500</v>
      </c>
    </row>
    <row r="657" spans="1:17" ht="18.75" customHeight="1" x14ac:dyDescent="0.2">
      <c r="A657" s="162"/>
      <c r="B657" s="162"/>
      <c r="C657" s="178" t="s">
        <v>1271</v>
      </c>
      <c r="D657" s="141" t="s">
        <v>1272</v>
      </c>
      <c r="E657" s="289"/>
      <c r="F657" s="187">
        <v>162638</v>
      </c>
      <c r="G657" s="3">
        <f>0+[1]táj.2!G657</f>
        <v>0</v>
      </c>
      <c r="H657" s="3">
        <f>0+[1]táj.2!H657</f>
        <v>0</v>
      </c>
      <c r="I657" s="3">
        <f>0+[1]táj.2!I657</f>
        <v>0</v>
      </c>
      <c r="J657" s="3">
        <f>0+[1]táj.2!J657</f>
        <v>0</v>
      </c>
      <c r="K657" s="3">
        <f>0+[1]táj.2!K657</f>
        <v>0</v>
      </c>
      <c r="L657" s="3">
        <f>10000+[1]táj.2!L657</f>
        <v>10000</v>
      </c>
      <c r="M657" s="3">
        <f>0+[1]táj.2!M657</f>
        <v>0</v>
      </c>
      <c r="N657" s="3">
        <f>0+[1]táj.2!N657</f>
        <v>0</v>
      </c>
      <c r="O657" s="3">
        <f>0+[1]táj.2!O657</f>
        <v>0</v>
      </c>
      <c r="P657" s="3">
        <f>0+[1]táj.2!P657</f>
        <v>0</v>
      </c>
      <c r="Q657" s="7">
        <f>SUM(G657:P657)</f>
        <v>10000</v>
      </c>
    </row>
    <row r="658" spans="1:17" ht="24.75" customHeight="1" x14ac:dyDescent="0.2">
      <c r="A658" s="162"/>
      <c r="B658" s="162"/>
      <c r="C658" s="178" t="s">
        <v>1488</v>
      </c>
      <c r="D658" s="141" t="s">
        <v>1489</v>
      </c>
      <c r="E658" s="289"/>
      <c r="F658" s="187">
        <v>163647</v>
      </c>
      <c r="G658" s="3">
        <f>0+[1]táj.2!G658</f>
        <v>0</v>
      </c>
      <c r="H658" s="3">
        <f>0+[1]táj.2!H658</f>
        <v>0</v>
      </c>
      <c r="I658" s="3">
        <f>0+[1]táj.2!I658</f>
        <v>0</v>
      </c>
      <c r="J658" s="3">
        <f>0+[1]táj.2!J658</f>
        <v>0</v>
      </c>
      <c r="K658" s="3">
        <f>0+[1]táj.2!K658</f>
        <v>0</v>
      </c>
      <c r="L658" s="3">
        <f>200000+[1]táj.2!L658</f>
        <v>200000</v>
      </c>
      <c r="M658" s="3">
        <f>0+[1]táj.2!M658</f>
        <v>0</v>
      </c>
      <c r="N658" s="3">
        <f>0+[1]táj.2!N658</f>
        <v>0</v>
      </c>
      <c r="O658" s="3">
        <f>0+[1]táj.2!O658</f>
        <v>0</v>
      </c>
      <c r="P658" s="3">
        <f>0+[1]táj.2!P658</f>
        <v>0</v>
      </c>
      <c r="Q658" s="7">
        <f>SUM(G658:P658)</f>
        <v>200000</v>
      </c>
    </row>
    <row r="659" spans="1:17" ht="20.25" customHeight="1" x14ac:dyDescent="0.2">
      <c r="A659" s="162"/>
      <c r="B659" s="162"/>
      <c r="C659" s="323"/>
      <c r="D659" s="247" t="s">
        <v>584</v>
      </c>
      <c r="E659" s="289"/>
      <c r="F659" s="18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7"/>
    </row>
    <row r="660" spans="1:17" ht="24.75" customHeight="1" x14ac:dyDescent="0.2">
      <c r="A660" s="162"/>
      <c r="B660" s="162"/>
      <c r="C660" s="254" t="s">
        <v>1273</v>
      </c>
      <c r="D660" s="137" t="s">
        <v>1274</v>
      </c>
      <c r="E660" s="289"/>
      <c r="F660" s="187">
        <v>162640</v>
      </c>
      <c r="G660" s="3">
        <f>0+[1]táj.2!G660</f>
        <v>0</v>
      </c>
      <c r="H660" s="3">
        <f>0+[1]táj.2!H660</f>
        <v>0</v>
      </c>
      <c r="I660" s="3">
        <f>183429+[1]táj.2!I660</f>
        <v>183429</v>
      </c>
      <c r="J660" s="3">
        <f>0+[1]táj.2!J660</f>
        <v>0</v>
      </c>
      <c r="K660" s="3">
        <f>0+[1]táj.2!K660</f>
        <v>0</v>
      </c>
      <c r="L660" s="3">
        <f>0+[1]táj.2!L660</f>
        <v>0</v>
      </c>
      <c r="M660" s="3">
        <f>0+[1]táj.2!M660</f>
        <v>0</v>
      </c>
      <c r="N660" s="3">
        <f>0+[1]táj.2!N660</f>
        <v>0</v>
      </c>
      <c r="O660" s="3">
        <f>0+[1]táj.2!O660</f>
        <v>0</v>
      </c>
      <c r="P660" s="3">
        <f>0+[1]táj.2!P660</f>
        <v>0</v>
      </c>
      <c r="Q660" s="7">
        <f t="shared" ref="Q660:Q666" si="36">SUM(G660:P660)</f>
        <v>183429</v>
      </c>
    </row>
    <row r="661" spans="1:17" ht="36" customHeight="1" x14ac:dyDescent="0.2">
      <c r="A661" s="162"/>
      <c r="B661" s="162"/>
      <c r="C661" s="254" t="s">
        <v>1275</v>
      </c>
      <c r="D661" s="191" t="s">
        <v>1276</v>
      </c>
      <c r="E661" s="289" t="s">
        <v>757</v>
      </c>
      <c r="F661" s="187">
        <v>162702</v>
      </c>
      <c r="G661" s="3">
        <f>0+[1]táj.2!G661</f>
        <v>0</v>
      </c>
      <c r="H661" s="3">
        <f>0+[1]táj.2!H661</f>
        <v>0</v>
      </c>
      <c r="I661" s="3">
        <f>0+[1]táj.2!I661</f>
        <v>0</v>
      </c>
      <c r="J661" s="3">
        <f>0+[1]táj.2!J661</f>
        <v>0</v>
      </c>
      <c r="K661" s="3">
        <f>0+[1]táj.2!K661</f>
        <v>0</v>
      </c>
      <c r="L661" s="3">
        <f>17924+[1]táj.2!L661</f>
        <v>807</v>
      </c>
      <c r="M661" s="3">
        <f>0+[1]táj.2!M661</f>
        <v>0</v>
      </c>
      <c r="N661" s="3">
        <f>0+[1]táj.2!N661</f>
        <v>0</v>
      </c>
      <c r="O661" s="3">
        <f>0+[1]táj.2!O661</f>
        <v>0</v>
      </c>
      <c r="P661" s="3">
        <f>0+[1]táj.2!P661</f>
        <v>0</v>
      </c>
      <c r="Q661" s="7">
        <f t="shared" si="36"/>
        <v>807</v>
      </c>
    </row>
    <row r="662" spans="1:17" ht="24.75" customHeight="1" x14ac:dyDescent="0.2">
      <c r="A662" s="162"/>
      <c r="B662" s="162"/>
      <c r="C662" s="254" t="s">
        <v>1277</v>
      </c>
      <c r="D662" s="141" t="s">
        <v>1278</v>
      </c>
      <c r="E662" s="289"/>
      <c r="F662" s="187">
        <v>162633</v>
      </c>
      <c r="G662" s="3">
        <f>0+[1]táj.2!G662</f>
        <v>0</v>
      </c>
      <c r="H662" s="3">
        <f>0+[1]táj.2!H662</f>
        <v>0</v>
      </c>
      <c r="I662" s="3">
        <f>5130+[1]táj.2!I662</f>
        <v>5130</v>
      </c>
      <c r="J662" s="3">
        <f>0+[1]táj.2!J662</f>
        <v>0</v>
      </c>
      <c r="K662" s="3">
        <f>0+[1]táj.2!K662</f>
        <v>0</v>
      </c>
      <c r="L662" s="3">
        <f>18486+[1]táj.2!L662</f>
        <v>18486</v>
      </c>
      <c r="M662" s="3">
        <f>0+[1]táj.2!M662</f>
        <v>0</v>
      </c>
      <c r="N662" s="3">
        <f>0+[1]táj.2!N662</f>
        <v>0</v>
      </c>
      <c r="O662" s="3">
        <f>0+[1]táj.2!O662</f>
        <v>0</v>
      </c>
      <c r="P662" s="3">
        <f>0+[1]táj.2!P662</f>
        <v>0</v>
      </c>
      <c r="Q662" s="7">
        <f t="shared" si="36"/>
        <v>23616</v>
      </c>
    </row>
    <row r="663" spans="1:17" ht="16.5" customHeight="1" x14ac:dyDescent="0.2">
      <c r="A663" s="162"/>
      <c r="B663" s="162"/>
      <c r="C663" s="254" t="s">
        <v>1279</v>
      </c>
      <c r="D663" s="141" t="s">
        <v>1280</v>
      </c>
      <c r="E663" s="289"/>
      <c r="F663" s="187">
        <v>162634</v>
      </c>
      <c r="G663" s="3">
        <f>0+[1]táj.2!G663</f>
        <v>0</v>
      </c>
      <c r="H663" s="3">
        <f>0+[1]táj.2!H663</f>
        <v>0</v>
      </c>
      <c r="I663" s="3">
        <f>953+[1]táj.2!I663</f>
        <v>953</v>
      </c>
      <c r="J663" s="3">
        <f>0+[1]táj.2!J663</f>
        <v>0</v>
      </c>
      <c r="K663" s="3">
        <f>0+[1]táj.2!K663</f>
        <v>0</v>
      </c>
      <c r="L663" s="3">
        <f>0+[1]táj.2!L663</f>
        <v>0</v>
      </c>
      <c r="M663" s="3">
        <f>0+[1]táj.2!M663</f>
        <v>0</v>
      </c>
      <c r="N663" s="3">
        <f>0+[1]táj.2!N663</f>
        <v>0</v>
      </c>
      <c r="O663" s="3">
        <f>0+[1]táj.2!O663</f>
        <v>0</v>
      </c>
      <c r="P663" s="3">
        <f>0+[1]táj.2!P663</f>
        <v>0</v>
      </c>
      <c r="Q663" s="7">
        <f t="shared" si="36"/>
        <v>953</v>
      </c>
    </row>
    <row r="664" spans="1:17" ht="34.5" customHeight="1" x14ac:dyDescent="0.2">
      <c r="A664" s="162"/>
      <c r="B664" s="162"/>
      <c r="C664" s="254" t="s">
        <v>1281</v>
      </c>
      <c r="D664" s="141" t="s">
        <v>1282</v>
      </c>
      <c r="E664" s="289" t="s">
        <v>757</v>
      </c>
      <c r="F664" s="187">
        <v>163631</v>
      </c>
      <c r="G664" s="3">
        <f>0+[1]táj.2!G664</f>
        <v>0</v>
      </c>
      <c r="H664" s="3">
        <f>0+[1]táj.2!H664</f>
        <v>0</v>
      </c>
      <c r="I664" s="3">
        <f>0+[1]táj.2!I664</f>
        <v>0</v>
      </c>
      <c r="J664" s="3">
        <f>0+[1]táj.2!J664</f>
        <v>0</v>
      </c>
      <c r="K664" s="3">
        <f>0+[1]táj.2!K664</f>
        <v>0</v>
      </c>
      <c r="L664" s="3">
        <f>47000+[1]táj.2!L664</f>
        <v>28473</v>
      </c>
      <c r="M664" s="3">
        <f>0+[1]táj.2!M664</f>
        <v>0</v>
      </c>
      <c r="N664" s="3">
        <f>0+[1]táj.2!N664</f>
        <v>0</v>
      </c>
      <c r="O664" s="3">
        <f>0+[1]táj.2!O664</f>
        <v>0</v>
      </c>
      <c r="P664" s="3">
        <f>0+[1]táj.2!P664</f>
        <v>0</v>
      </c>
      <c r="Q664" s="7">
        <f t="shared" si="36"/>
        <v>28473</v>
      </c>
    </row>
    <row r="665" spans="1:17" ht="39" customHeight="1" x14ac:dyDescent="0.2">
      <c r="A665" s="162"/>
      <c r="B665" s="162"/>
      <c r="C665" s="254" t="s">
        <v>1283</v>
      </c>
      <c r="D665" s="141" t="s">
        <v>1284</v>
      </c>
      <c r="E665" s="289"/>
      <c r="F665" s="187">
        <v>163605</v>
      </c>
      <c r="G665" s="3">
        <f>0+[1]táj.2!G665</f>
        <v>0</v>
      </c>
      <c r="H665" s="3">
        <f>0+[1]táj.2!H665</f>
        <v>0</v>
      </c>
      <c r="I665" s="3">
        <f>0+[1]táj.2!I665</f>
        <v>0</v>
      </c>
      <c r="J665" s="3">
        <f>0+[1]táj.2!J665</f>
        <v>0</v>
      </c>
      <c r="K665" s="3">
        <f>0+[1]táj.2!K665</f>
        <v>0</v>
      </c>
      <c r="L665" s="3">
        <f>9779+[1]táj.2!L665</f>
        <v>9779</v>
      </c>
      <c r="M665" s="3">
        <f>0+[1]táj.2!M665</f>
        <v>0</v>
      </c>
      <c r="N665" s="3">
        <f>0+[1]táj.2!N665</f>
        <v>0</v>
      </c>
      <c r="O665" s="3">
        <f>0+[1]táj.2!O665</f>
        <v>0</v>
      </c>
      <c r="P665" s="3">
        <f>0+[1]táj.2!P665</f>
        <v>0</v>
      </c>
      <c r="Q665" s="7">
        <f t="shared" si="36"/>
        <v>9779</v>
      </c>
    </row>
    <row r="666" spans="1:17" ht="39" customHeight="1" x14ac:dyDescent="0.2">
      <c r="A666" s="162"/>
      <c r="B666" s="162"/>
      <c r="C666" s="254" t="s">
        <v>1508</v>
      </c>
      <c r="D666" s="734" t="s">
        <v>1509</v>
      </c>
      <c r="E666" s="735"/>
      <c r="F666" s="187">
        <v>162695</v>
      </c>
      <c r="G666" s="3">
        <f>0+[1]táj.2!G666</f>
        <v>0</v>
      </c>
      <c r="H666" s="3">
        <f>0+[1]táj.2!H666</f>
        <v>0</v>
      </c>
      <c r="I666" s="3">
        <f>0+[1]táj.2!I666</f>
        <v>0</v>
      </c>
      <c r="J666" s="3">
        <f>0+[1]táj.2!J666</f>
        <v>0</v>
      </c>
      <c r="K666" s="3">
        <f>0+[1]táj.2!K666</f>
        <v>12000</v>
      </c>
      <c r="L666" s="3">
        <f>0+[1]táj.2!L666</f>
        <v>0</v>
      </c>
      <c r="M666" s="3">
        <f>0+[1]táj.2!M666</f>
        <v>0</v>
      </c>
      <c r="N666" s="3">
        <f>0+[1]táj.2!N666</f>
        <v>0</v>
      </c>
      <c r="O666" s="3">
        <f>0+[1]táj.2!O666</f>
        <v>0</v>
      </c>
      <c r="P666" s="3">
        <f>0+[1]táj.2!P666</f>
        <v>0</v>
      </c>
      <c r="Q666" s="7">
        <f t="shared" si="36"/>
        <v>12000</v>
      </c>
    </row>
    <row r="667" spans="1:17" ht="14.1" customHeight="1" x14ac:dyDescent="0.2">
      <c r="A667" s="304"/>
      <c r="B667" s="304"/>
      <c r="C667" s="305"/>
      <c r="D667" s="324" t="s">
        <v>1285</v>
      </c>
      <c r="E667" s="325"/>
      <c r="F667" s="249"/>
      <c r="G667" s="5">
        <f>SUM(G488:G666)</f>
        <v>54181</v>
      </c>
      <c r="H667" s="5">
        <f t="shared" ref="H667:Q667" si="37">SUM(H488:H666)</f>
        <v>12770</v>
      </c>
      <c r="I667" s="5">
        <f t="shared" si="37"/>
        <v>6299014</v>
      </c>
      <c r="J667" s="5">
        <f t="shared" si="37"/>
        <v>0</v>
      </c>
      <c r="K667" s="5">
        <f t="shared" si="37"/>
        <v>78838</v>
      </c>
      <c r="L667" s="5">
        <f t="shared" si="37"/>
        <v>26743495</v>
      </c>
      <c r="M667" s="5">
        <f t="shared" si="37"/>
        <v>5179522</v>
      </c>
      <c r="N667" s="5">
        <f t="shared" si="37"/>
        <v>10185</v>
      </c>
      <c r="O667" s="5">
        <f t="shared" si="37"/>
        <v>0</v>
      </c>
      <c r="P667" s="5">
        <f t="shared" si="37"/>
        <v>0</v>
      </c>
      <c r="Q667" s="5">
        <f t="shared" si="37"/>
        <v>38378005</v>
      </c>
    </row>
    <row r="668" spans="1:17" ht="15" customHeight="1" x14ac:dyDescent="0.2">
      <c r="A668" s="162">
        <v>1</v>
      </c>
      <c r="B668" s="162">
        <v>17</v>
      </c>
      <c r="C668" s="178"/>
      <c r="D668" s="241" t="s">
        <v>1286</v>
      </c>
      <c r="E668" s="187"/>
      <c r="F668" s="7"/>
      <c r="G668" s="7"/>
      <c r="H668" s="3"/>
      <c r="I668" s="3"/>
      <c r="J668" s="3"/>
      <c r="K668" s="3"/>
      <c r="L668" s="3"/>
      <c r="M668" s="7"/>
      <c r="N668" s="7"/>
      <c r="O668" s="7"/>
      <c r="P668" s="7"/>
      <c r="Q668" s="7"/>
    </row>
    <row r="669" spans="1:17" ht="15" customHeight="1" x14ac:dyDescent="0.2">
      <c r="A669" s="162"/>
      <c r="B669" s="162"/>
      <c r="C669" s="178"/>
      <c r="D669" s="143" t="s">
        <v>424</v>
      </c>
      <c r="E669" s="190"/>
      <c r="F669" s="171"/>
      <c r="G669" s="7"/>
      <c r="H669" s="3"/>
      <c r="I669" s="3"/>
      <c r="J669" s="3"/>
      <c r="K669" s="3"/>
      <c r="L669" s="3"/>
      <c r="M669" s="7"/>
      <c r="N669" s="7"/>
      <c r="O669" s="7"/>
      <c r="P669" s="7"/>
      <c r="Q669" s="7"/>
    </row>
    <row r="670" spans="1:17" ht="15" customHeight="1" x14ac:dyDescent="0.2">
      <c r="A670" s="162"/>
      <c r="B670" s="162"/>
      <c r="C670" s="178"/>
      <c r="D670" s="247" t="s">
        <v>1287</v>
      </c>
      <c r="E670" s="7">
        <v>1</v>
      </c>
      <c r="F670" s="7">
        <v>171905</v>
      </c>
      <c r="G670" s="7">
        <f>0+[1]táj.2!G670</f>
        <v>0</v>
      </c>
      <c r="H670" s="7">
        <f>0+[1]táj.2!H670</f>
        <v>0</v>
      </c>
      <c r="I670" s="7">
        <f>7556+[1]táj.2!I670</f>
        <v>5590</v>
      </c>
      <c r="J670" s="7">
        <f>0+[1]táj.2!J670</f>
        <v>0</v>
      </c>
      <c r="K670" s="7">
        <f>0+[1]táj.2!K670</f>
        <v>0</v>
      </c>
      <c r="L670" s="7">
        <f>0+[1]táj.2!L670</f>
        <v>0</v>
      </c>
      <c r="M670" s="7">
        <f>0+[1]táj.2!M670</f>
        <v>1966</v>
      </c>
      <c r="N670" s="7">
        <f>0+[1]táj.2!N670</f>
        <v>0</v>
      </c>
      <c r="O670" s="7">
        <f>0+[1]táj.2!O670</f>
        <v>0</v>
      </c>
      <c r="P670" s="7">
        <f>0+[1]táj.2!P670</f>
        <v>0</v>
      </c>
      <c r="Q670" s="7">
        <f t="shared" ref="Q670:Q677" si="38">SUM(G670:P670)</f>
        <v>7556</v>
      </c>
    </row>
    <row r="671" spans="1:17" ht="15" customHeight="1" x14ac:dyDescent="0.2">
      <c r="A671" s="162"/>
      <c r="B671" s="162"/>
      <c r="C671" s="178"/>
      <c r="D671" s="247" t="s">
        <v>1288</v>
      </c>
      <c r="E671" s="7">
        <v>1</v>
      </c>
      <c r="F671" s="7">
        <v>171903</v>
      </c>
      <c r="G671" s="7">
        <f>0+[1]táj.2!G671</f>
        <v>0</v>
      </c>
      <c r="H671" s="7">
        <f>0+[1]táj.2!H671</f>
        <v>0</v>
      </c>
      <c r="I671" s="7">
        <f>500+[1]táj.2!I671</f>
        <v>500</v>
      </c>
      <c r="J671" s="7">
        <f>0+[1]táj.2!J671</f>
        <v>0</v>
      </c>
      <c r="K671" s="7">
        <f>0+[1]táj.2!K671</f>
        <v>0</v>
      </c>
      <c r="L671" s="7">
        <f>0+[1]táj.2!L671</f>
        <v>0</v>
      </c>
      <c r="M671" s="7">
        <f>0+[1]táj.2!M671</f>
        <v>0</v>
      </c>
      <c r="N671" s="7">
        <f>0+[1]táj.2!N671</f>
        <v>0</v>
      </c>
      <c r="O671" s="7">
        <f>0+[1]táj.2!O671</f>
        <v>0</v>
      </c>
      <c r="P671" s="7">
        <f>0+[1]táj.2!P671</f>
        <v>0</v>
      </c>
      <c r="Q671" s="7">
        <f t="shared" si="38"/>
        <v>500</v>
      </c>
    </row>
    <row r="672" spans="1:17" ht="15" customHeight="1" x14ac:dyDescent="0.2">
      <c r="A672" s="162"/>
      <c r="B672" s="162"/>
      <c r="C672" s="178"/>
      <c r="D672" s="247" t="s">
        <v>1289</v>
      </c>
      <c r="E672" s="171">
        <v>1</v>
      </c>
      <c r="F672" s="7">
        <v>171920</v>
      </c>
      <c r="G672" s="7">
        <f>0+[1]táj.2!G672</f>
        <v>0</v>
      </c>
      <c r="H672" s="7">
        <f>0+[1]táj.2!H672</f>
        <v>0</v>
      </c>
      <c r="I672" s="7">
        <f>5899+[1]táj.2!I672</f>
        <v>5899</v>
      </c>
      <c r="J672" s="7">
        <f>0+[1]táj.2!J672</f>
        <v>0</v>
      </c>
      <c r="K672" s="7">
        <f>0+[1]táj.2!K672</f>
        <v>0</v>
      </c>
      <c r="L672" s="7">
        <f>0+[1]táj.2!L672</f>
        <v>0</v>
      </c>
      <c r="M672" s="7">
        <f>0+[1]táj.2!M672</f>
        <v>0</v>
      </c>
      <c r="N672" s="7">
        <f>0+[1]táj.2!N672</f>
        <v>0</v>
      </c>
      <c r="O672" s="7">
        <f>0+[1]táj.2!O672</f>
        <v>0</v>
      </c>
      <c r="P672" s="7">
        <f>0+[1]táj.2!P672</f>
        <v>0</v>
      </c>
      <c r="Q672" s="7">
        <f t="shared" si="38"/>
        <v>5899</v>
      </c>
    </row>
    <row r="673" spans="1:17" ht="15" customHeight="1" x14ac:dyDescent="0.2">
      <c r="A673" s="162"/>
      <c r="B673" s="162"/>
      <c r="C673" s="178"/>
      <c r="D673" s="141" t="s">
        <v>1290</v>
      </c>
      <c r="E673" s="134">
        <v>1</v>
      </c>
      <c r="F673" s="7">
        <v>171956</v>
      </c>
      <c r="G673" s="7">
        <f>0+[1]táj.2!G673</f>
        <v>0</v>
      </c>
      <c r="H673" s="7">
        <f>0+[1]táj.2!H673</f>
        <v>0</v>
      </c>
      <c r="I673" s="7">
        <f>4118+[1]táj.2!I673</f>
        <v>4118</v>
      </c>
      <c r="J673" s="7">
        <f>0+[1]táj.2!J673</f>
        <v>0</v>
      </c>
      <c r="K673" s="7">
        <f>0+[1]táj.2!K673</f>
        <v>0</v>
      </c>
      <c r="L673" s="7">
        <f>0+[1]táj.2!L673</f>
        <v>0</v>
      </c>
      <c r="M673" s="7">
        <f>0+[1]táj.2!M673</f>
        <v>0</v>
      </c>
      <c r="N673" s="7">
        <f>0+[1]táj.2!N673</f>
        <v>0</v>
      </c>
      <c r="O673" s="7">
        <f>0+[1]táj.2!O673</f>
        <v>0</v>
      </c>
      <c r="P673" s="7">
        <f>0+[1]táj.2!P673</f>
        <v>0</v>
      </c>
      <c r="Q673" s="7">
        <f t="shared" si="38"/>
        <v>4118</v>
      </c>
    </row>
    <row r="674" spans="1:17" ht="15" customHeight="1" x14ac:dyDescent="0.2">
      <c r="A674" s="162"/>
      <c r="B674" s="162"/>
      <c r="C674" s="178"/>
      <c r="D674" s="141" t="s">
        <v>1291</v>
      </c>
      <c r="E674" s="134">
        <v>1</v>
      </c>
      <c r="F674" s="7">
        <v>171958</v>
      </c>
      <c r="G674" s="7">
        <f>0+[1]táj.2!G674</f>
        <v>0</v>
      </c>
      <c r="H674" s="7">
        <f>0+[1]táj.2!H674</f>
        <v>0</v>
      </c>
      <c r="I674" s="7">
        <f>500+[1]táj.2!I674</f>
        <v>500</v>
      </c>
      <c r="J674" s="7">
        <f>0+[1]táj.2!J674</f>
        <v>0</v>
      </c>
      <c r="K674" s="7">
        <f>0+[1]táj.2!K674</f>
        <v>0</v>
      </c>
      <c r="L674" s="7">
        <f>0+[1]táj.2!L674</f>
        <v>0</v>
      </c>
      <c r="M674" s="7">
        <f>0+[1]táj.2!M674</f>
        <v>0</v>
      </c>
      <c r="N674" s="7">
        <f>0+[1]táj.2!N674</f>
        <v>0</v>
      </c>
      <c r="O674" s="7">
        <f>0+[1]táj.2!O674</f>
        <v>0</v>
      </c>
      <c r="P674" s="7">
        <f>0+[1]táj.2!P674</f>
        <v>0</v>
      </c>
      <c r="Q674" s="7">
        <f t="shared" si="38"/>
        <v>500</v>
      </c>
    </row>
    <row r="675" spans="1:17" ht="15" customHeight="1" x14ac:dyDescent="0.2">
      <c r="A675" s="162"/>
      <c r="B675" s="162"/>
      <c r="C675" s="178"/>
      <c r="D675" s="141" t="s">
        <v>1292</v>
      </c>
      <c r="E675" s="134">
        <v>1</v>
      </c>
      <c r="F675" s="7">
        <v>171904</v>
      </c>
      <c r="G675" s="7">
        <f>0+[1]táj.2!G675</f>
        <v>0</v>
      </c>
      <c r="H675" s="7">
        <f>0+[1]táj.2!H675</f>
        <v>0</v>
      </c>
      <c r="I675" s="7">
        <f>2000+[1]táj.2!I675</f>
        <v>2000</v>
      </c>
      <c r="J675" s="7">
        <f>0+[1]táj.2!J675</f>
        <v>0</v>
      </c>
      <c r="K675" s="7">
        <f>0+[1]táj.2!K675</f>
        <v>0</v>
      </c>
      <c r="L675" s="7">
        <f>0+[1]táj.2!L675</f>
        <v>0</v>
      </c>
      <c r="M675" s="7">
        <f>0+[1]táj.2!M675</f>
        <v>0</v>
      </c>
      <c r="N675" s="7">
        <f>0+[1]táj.2!N675</f>
        <v>0</v>
      </c>
      <c r="O675" s="7">
        <f>0+[1]táj.2!O675</f>
        <v>0</v>
      </c>
      <c r="P675" s="7">
        <f>0+[1]táj.2!P675</f>
        <v>0</v>
      </c>
      <c r="Q675" s="7">
        <f t="shared" si="38"/>
        <v>2000</v>
      </c>
    </row>
    <row r="676" spans="1:17" ht="15" customHeight="1" x14ac:dyDescent="0.2">
      <c r="A676" s="162"/>
      <c r="B676" s="162"/>
      <c r="C676" s="178"/>
      <c r="D676" s="247" t="s">
        <v>1293</v>
      </c>
      <c r="E676" s="7">
        <v>1</v>
      </c>
      <c r="F676" s="7">
        <v>171902</v>
      </c>
      <c r="G676" s="7">
        <f>0+[1]táj.2!G676</f>
        <v>0</v>
      </c>
      <c r="H676" s="7">
        <f>0+[1]táj.2!H676</f>
        <v>0</v>
      </c>
      <c r="I676" s="7">
        <f>13406+[1]táj.2!I676</f>
        <v>13406</v>
      </c>
      <c r="J676" s="7">
        <f>0+[1]táj.2!J676</f>
        <v>0</v>
      </c>
      <c r="K676" s="7">
        <f>0+[1]táj.2!K676</f>
        <v>0</v>
      </c>
      <c r="L676" s="7">
        <f>0+[1]táj.2!L676</f>
        <v>0</v>
      </c>
      <c r="M676" s="7">
        <f>0+[1]táj.2!M676</f>
        <v>0</v>
      </c>
      <c r="N676" s="7">
        <f>0+[1]táj.2!N676</f>
        <v>0</v>
      </c>
      <c r="O676" s="7">
        <f>0+[1]táj.2!O676</f>
        <v>0</v>
      </c>
      <c r="P676" s="7">
        <f>0+[1]táj.2!P676</f>
        <v>0</v>
      </c>
      <c r="Q676" s="7">
        <f t="shared" si="38"/>
        <v>13406</v>
      </c>
    </row>
    <row r="677" spans="1:17" ht="15" customHeight="1" x14ac:dyDescent="0.2">
      <c r="A677" s="162"/>
      <c r="B677" s="162"/>
      <c r="C677" s="178"/>
      <c r="D677" s="247" t="s">
        <v>1294</v>
      </c>
      <c r="E677" s="7">
        <v>1</v>
      </c>
      <c r="F677" s="7">
        <v>171925</v>
      </c>
      <c r="G677" s="7">
        <f>0+[1]táj.2!G677</f>
        <v>0</v>
      </c>
      <c r="H677" s="7">
        <f>0+[1]táj.2!H677</f>
        <v>0</v>
      </c>
      <c r="I677" s="7">
        <f>500+[1]táj.2!I677</f>
        <v>500</v>
      </c>
      <c r="J677" s="7">
        <f>0+[1]táj.2!J677</f>
        <v>0</v>
      </c>
      <c r="K677" s="7">
        <f>0+[1]táj.2!K677</f>
        <v>0</v>
      </c>
      <c r="L677" s="7">
        <f>0+[1]táj.2!L677</f>
        <v>0</v>
      </c>
      <c r="M677" s="7">
        <f>0+[1]táj.2!M677</f>
        <v>0</v>
      </c>
      <c r="N677" s="7">
        <f>0+[1]táj.2!N677</f>
        <v>0</v>
      </c>
      <c r="O677" s="7">
        <f>0+[1]táj.2!O677</f>
        <v>0</v>
      </c>
      <c r="P677" s="7">
        <f>0+[1]táj.2!P677</f>
        <v>0</v>
      </c>
      <c r="Q677" s="7">
        <f t="shared" si="38"/>
        <v>500</v>
      </c>
    </row>
    <row r="678" spans="1:17" ht="15" customHeight="1" x14ac:dyDescent="0.2">
      <c r="A678" s="162"/>
      <c r="B678" s="162"/>
      <c r="C678" s="162"/>
      <c r="D678" s="145" t="s">
        <v>1295</v>
      </c>
      <c r="E678" s="187"/>
      <c r="F678" s="7"/>
      <c r="G678" s="7"/>
      <c r="H678" s="3"/>
      <c r="I678" s="7"/>
      <c r="J678" s="3"/>
      <c r="K678" s="3"/>
      <c r="L678" s="3"/>
      <c r="M678" s="7"/>
      <c r="N678" s="7"/>
      <c r="O678" s="7"/>
      <c r="P678" s="7"/>
      <c r="Q678" s="7"/>
    </row>
    <row r="679" spans="1:17" ht="15" customHeight="1" x14ac:dyDescent="0.2">
      <c r="A679" s="162"/>
      <c r="B679" s="162"/>
      <c r="C679" s="162"/>
      <c r="D679" s="145" t="s">
        <v>1296</v>
      </c>
      <c r="E679" s="187">
        <v>1</v>
      </c>
      <c r="F679" s="7">
        <v>171954</v>
      </c>
      <c r="G679" s="7">
        <f>0+[1]táj.2!G679</f>
        <v>0</v>
      </c>
      <c r="H679" s="7">
        <f>0+[1]táj.2!H679</f>
        <v>0</v>
      </c>
      <c r="I679" s="7">
        <f>500+[1]táj.2!I679</f>
        <v>500</v>
      </c>
      <c r="J679" s="7">
        <f>0+[1]táj.2!J679</f>
        <v>0</v>
      </c>
      <c r="K679" s="7">
        <f>0+[1]táj.2!K679</f>
        <v>0</v>
      </c>
      <c r="L679" s="7">
        <f>0+[1]táj.2!L679</f>
        <v>0</v>
      </c>
      <c r="M679" s="7">
        <f>0+[1]táj.2!M679</f>
        <v>0</v>
      </c>
      <c r="N679" s="7">
        <f>0+[1]táj.2!N679</f>
        <v>0</v>
      </c>
      <c r="O679" s="7">
        <f>0+[1]táj.2!O679</f>
        <v>0</v>
      </c>
      <c r="P679" s="7">
        <f>0+[1]táj.2!P679</f>
        <v>0</v>
      </c>
      <c r="Q679" s="7">
        <f>SUM(G679:P679)</f>
        <v>500</v>
      </c>
    </row>
    <row r="680" spans="1:17" ht="15" customHeight="1" x14ac:dyDescent="0.2">
      <c r="A680" s="182"/>
      <c r="B680" s="182"/>
      <c r="C680" s="183"/>
      <c r="D680" s="147" t="s">
        <v>1297</v>
      </c>
      <c r="E680" s="185"/>
      <c r="F680" s="52"/>
      <c r="G680" s="52">
        <f>SUM(G669:G679)</f>
        <v>0</v>
      </c>
      <c r="H680" s="52">
        <f t="shared" ref="H680:Q680" si="39">SUM(H669:H679)</f>
        <v>0</v>
      </c>
      <c r="I680" s="52">
        <f t="shared" si="39"/>
        <v>33013</v>
      </c>
      <c r="J680" s="52">
        <f t="shared" si="39"/>
        <v>0</v>
      </c>
      <c r="K680" s="52">
        <f t="shared" si="39"/>
        <v>0</v>
      </c>
      <c r="L680" s="52">
        <f t="shared" si="39"/>
        <v>0</v>
      </c>
      <c r="M680" s="52">
        <f t="shared" si="39"/>
        <v>1966</v>
      </c>
      <c r="N680" s="52">
        <f t="shared" si="39"/>
        <v>0</v>
      </c>
      <c r="O680" s="52">
        <f t="shared" si="39"/>
        <v>0</v>
      </c>
      <c r="P680" s="52">
        <f t="shared" si="39"/>
        <v>0</v>
      </c>
      <c r="Q680" s="52">
        <f t="shared" si="39"/>
        <v>34979</v>
      </c>
    </row>
    <row r="681" spans="1:17" ht="14.1" customHeight="1" x14ac:dyDescent="0.2">
      <c r="A681" s="135"/>
      <c r="B681" s="135"/>
      <c r="C681" s="220"/>
      <c r="D681" s="251" t="s">
        <v>1298</v>
      </c>
      <c r="E681" s="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ht="27.75" customHeight="1" x14ac:dyDescent="0.2">
      <c r="A682" s="135"/>
      <c r="B682" s="135"/>
      <c r="C682" s="178" t="s">
        <v>211</v>
      </c>
      <c r="D682" s="326" t="s">
        <v>1299</v>
      </c>
      <c r="E682" s="327"/>
      <c r="F682" s="328">
        <v>171980</v>
      </c>
      <c r="G682" s="7">
        <f>0+[1]táj.2!G682</f>
        <v>0</v>
      </c>
      <c r="H682" s="7">
        <f>0+[1]táj.2!H682</f>
        <v>0</v>
      </c>
      <c r="I682" s="7">
        <f>0+[1]táj.2!I682</f>
        <v>0</v>
      </c>
      <c r="J682" s="7">
        <f>0+[1]táj.2!J682</f>
        <v>0</v>
      </c>
      <c r="K682" s="7">
        <f>0+[1]táj.2!K682</f>
        <v>0</v>
      </c>
      <c r="L682" s="7">
        <f>0+[1]táj.2!L682</f>
        <v>0</v>
      </c>
      <c r="M682" s="7">
        <f>0+[1]táj.2!M682</f>
        <v>0</v>
      </c>
      <c r="N682" s="7">
        <f>30000+[1]táj.2!N682</f>
        <v>30000</v>
      </c>
      <c r="O682" s="7">
        <f>0+[1]táj.2!O682</f>
        <v>0</v>
      </c>
      <c r="P682" s="7">
        <f>0+[1]táj.2!P682</f>
        <v>0</v>
      </c>
      <c r="Q682" s="7">
        <f>SUM(G682:P682)</f>
        <v>30000</v>
      </c>
    </row>
    <row r="683" spans="1:17" ht="18" customHeight="1" x14ac:dyDescent="0.2">
      <c r="A683" s="135"/>
      <c r="B683" s="135"/>
      <c r="C683" s="178" t="s">
        <v>210</v>
      </c>
      <c r="D683" s="139" t="s">
        <v>96</v>
      </c>
      <c r="E683" s="329"/>
      <c r="F683" s="7">
        <v>172958</v>
      </c>
      <c r="G683" s="7">
        <f>0+[1]táj.2!G683</f>
        <v>0</v>
      </c>
      <c r="H683" s="7">
        <f>0+[1]táj.2!H683</f>
        <v>0</v>
      </c>
      <c r="I683" s="7">
        <f>2000+[1]táj.2!I683</f>
        <v>2000</v>
      </c>
      <c r="J683" s="7">
        <f>0+[1]táj.2!J683</f>
        <v>0</v>
      </c>
      <c r="K683" s="7">
        <f>0+[1]táj.2!K683</f>
        <v>0</v>
      </c>
      <c r="L683" s="7">
        <f>10000+[1]táj.2!L683</f>
        <v>10000</v>
      </c>
      <c r="M683" s="7">
        <f>0+[1]táj.2!M683</f>
        <v>0</v>
      </c>
      <c r="N683" s="7">
        <f>0+[1]táj.2!N683</f>
        <v>0</v>
      </c>
      <c r="O683" s="7">
        <f>0+[1]táj.2!O683</f>
        <v>0</v>
      </c>
      <c r="P683" s="7">
        <f>0+[1]táj.2!P683</f>
        <v>0</v>
      </c>
      <c r="Q683" s="10">
        <f>SUM(G683:P683)</f>
        <v>12000</v>
      </c>
    </row>
    <row r="684" spans="1:17" ht="30.75" customHeight="1" x14ac:dyDescent="0.2">
      <c r="A684" s="135"/>
      <c r="B684" s="135"/>
      <c r="C684" s="178" t="s">
        <v>212</v>
      </c>
      <c r="D684" s="136" t="s">
        <v>1300</v>
      </c>
      <c r="E684" s="329"/>
      <c r="F684" s="7">
        <v>174904</v>
      </c>
      <c r="G684" s="7">
        <f>0+[1]táj.2!G684</f>
        <v>0</v>
      </c>
      <c r="H684" s="7">
        <f>0+[1]táj.2!H684</f>
        <v>0</v>
      </c>
      <c r="I684" s="7">
        <f>0+[1]táj.2!I684</f>
        <v>0</v>
      </c>
      <c r="J684" s="7">
        <f>0+[1]táj.2!J684</f>
        <v>0</v>
      </c>
      <c r="K684" s="7">
        <f>0+[1]táj.2!K684</f>
        <v>0</v>
      </c>
      <c r="L684" s="7">
        <f>0+[1]táj.2!L684</f>
        <v>0</v>
      </c>
      <c r="M684" s="7">
        <f>0+[1]táj.2!M684</f>
        <v>0</v>
      </c>
      <c r="N684" s="7">
        <f>75+[1]táj.2!N684</f>
        <v>75</v>
      </c>
      <c r="O684" s="7">
        <f>0+[1]táj.2!O684</f>
        <v>0</v>
      </c>
      <c r="P684" s="7">
        <f>0+[1]táj.2!P684</f>
        <v>0</v>
      </c>
      <c r="Q684" s="10">
        <f>SUM(G684:P684)</f>
        <v>75</v>
      </c>
    </row>
    <row r="685" spans="1:17" ht="30.75" customHeight="1" x14ac:dyDescent="0.2">
      <c r="A685" s="135"/>
      <c r="B685" s="135"/>
      <c r="C685" s="178" t="s">
        <v>213</v>
      </c>
      <c r="D685" s="136" t="s">
        <v>1510</v>
      </c>
      <c r="E685" s="329"/>
      <c r="F685" s="7">
        <v>172901</v>
      </c>
      <c r="G685" s="7">
        <f>0+[1]táj.2!G685</f>
        <v>0</v>
      </c>
      <c r="H685" s="7">
        <f>0+[1]táj.2!H685</f>
        <v>0</v>
      </c>
      <c r="I685" s="7">
        <f>0+[1]táj.2!I685</f>
        <v>0</v>
      </c>
      <c r="J685" s="7">
        <f>0+[1]táj.2!J685</f>
        <v>0</v>
      </c>
      <c r="K685" s="7">
        <f>0+[1]táj.2!K685</f>
        <v>0</v>
      </c>
      <c r="L685" s="7">
        <f>0+[1]táj.2!L685</f>
        <v>2955</v>
      </c>
      <c r="M685" s="7">
        <f>0+[1]táj.2!M685</f>
        <v>0</v>
      </c>
      <c r="N685" s="7">
        <f>0+[1]táj.2!N685</f>
        <v>0</v>
      </c>
      <c r="O685" s="7">
        <f>0+[1]táj.2!O685</f>
        <v>0</v>
      </c>
      <c r="P685" s="7">
        <f>0+[1]táj.2!P685</f>
        <v>0</v>
      </c>
      <c r="Q685" s="10">
        <f>SUM(G685:P685)</f>
        <v>2955</v>
      </c>
    </row>
    <row r="686" spans="1:17" ht="15.95" customHeight="1" x14ac:dyDescent="0.2">
      <c r="A686" s="135"/>
      <c r="B686" s="135"/>
      <c r="C686" s="178"/>
      <c r="D686" s="247" t="s">
        <v>584</v>
      </c>
      <c r="E686" s="327"/>
      <c r="F686" s="328">
        <v>172952</v>
      </c>
      <c r="G686" s="7"/>
      <c r="H686" s="8"/>
      <c r="I686" s="8"/>
      <c r="J686" s="8"/>
      <c r="K686" s="8"/>
      <c r="L686" s="7"/>
      <c r="M686" s="7"/>
      <c r="N686" s="7"/>
      <c r="O686" s="7"/>
      <c r="P686" s="7"/>
      <c r="Q686" s="7"/>
    </row>
    <row r="687" spans="1:17" ht="24.75" customHeight="1" x14ac:dyDescent="0.2">
      <c r="A687" s="135"/>
      <c r="B687" s="135"/>
      <c r="C687" s="178" t="s">
        <v>585</v>
      </c>
      <c r="D687" s="704" t="s">
        <v>1301</v>
      </c>
      <c r="E687" s="330"/>
      <c r="F687" s="328">
        <v>171970</v>
      </c>
      <c r="G687" s="7">
        <f>0+[1]táj.2!G687</f>
        <v>0</v>
      </c>
      <c r="H687" s="7">
        <f>0+[1]táj.2!H687</f>
        <v>0</v>
      </c>
      <c r="I687" s="7">
        <f>0+[1]táj.2!I687</f>
        <v>0</v>
      </c>
      <c r="J687" s="7">
        <f>0+[1]táj.2!J687</f>
        <v>0</v>
      </c>
      <c r="K687" s="7">
        <f>0+[1]táj.2!K687</f>
        <v>0</v>
      </c>
      <c r="L687" s="7">
        <f>32425+[1]táj.2!L687</f>
        <v>32425</v>
      </c>
      <c r="M687" s="7">
        <f>0+[1]táj.2!M687</f>
        <v>0</v>
      </c>
      <c r="N687" s="7">
        <f>0+[1]táj.2!N687</f>
        <v>0</v>
      </c>
      <c r="O687" s="7">
        <f>0+[1]táj.2!O687</f>
        <v>0</v>
      </c>
      <c r="P687" s="7">
        <f>0+[1]táj.2!P687</f>
        <v>0</v>
      </c>
      <c r="Q687" s="7">
        <f>SUM(G687:P687)</f>
        <v>32425</v>
      </c>
    </row>
    <row r="688" spans="1:17" ht="15.95" customHeight="1" x14ac:dyDescent="0.2">
      <c r="A688" s="135"/>
      <c r="B688" s="135"/>
      <c r="C688" s="178" t="s">
        <v>880</v>
      </c>
      <c r="D688" s="705" t="s">
        <v>1302</v>
      </c>
      <c r="E688" s="331"/>
      <c r="F688" s="7">
        <v>172910</v>
      </c>
      <c r="G688" s="7">
        <f>0+[1]táj.2!G688</f>
        <v>0</v>
      </c>
      <c r="H688" s="7">
        <f>0+[1]táj.2!H688</f>
        <v>0</v>
      </c>
      <c r="I688" s="7">
        <f>0+[1]táj.2!I688</f>
        <v>0</v>
      </c>
      <c r="J688" s="7">
        <f>0+[1]táj.2!J688</f>
        <v>0</v>
      </c>
      <c r="K688" s="7">
        <f>0+[1]táj.2!K688</f>
        <v>0</v>
      </c>
      <c r="L688" s="7">
        <f>51137+[1]táj.2!L688</f>
        <v>51137</v>
      </c>
      <c r="M688" s="7">
        <f>0+[1]táj.2!M688</f>
        <v>0</v>
      </c>
      <c r="N688" s="7">
        <f>0+[1]táj.2!N688</f>
        <v>0</v>
      </c>
      <c r="O688" s="7">
        <f>0+[1]táj.2!O688</f>
        <v>0</v>
      </c>
      <c r="P688" s="7">
        <f>0+[1]táj.2!P688</f>
        <v>0</v>
      </c>
      <c r="Q688" s="7">
        <f>SUM(G688:P688)</f>
        <v>51137</v>
      </c>
    </row>
    <row r="689" spans="1:17" ht="15.95" customHeight="1" x14ac:dyDescent="0.2">
      <c r="A689" s="135"/>
      <c r="B689" s="135"/>
      <c r="C689" s="178" t="s">
        <v>882</v>
      </c>
      <c r="D689" s="332" t="s">
        <v>1303</v>
      </c>
      <c r="E689" s="333"/>
      <c r="F689" s="7">
        <v>162603</v>
      </c>
      <c r="G689" s="7">
        <f>0+[1]táj.2!G689</f>
        <v>0</v>
      </c>
      <c r="H689" s="7">
        <f>0+[1]táj.2!H689</f>
        <v>0</v>
      </c>
      <c r="I689" s="7">
        <f>0+[1]táj.2!I689</f>
        <v>0</v>
      </c>
      <c r="J689" s="7">
        <f>0+[1]táj.2!J689</f>
        <v>0</v>
      </c>
      <c r="K689" s="7">
        <f>0+[1]táj.2!K689</f>
        <v>0</v>
      </c>
      <c r="L689" s="7">
        <f>24845+[1]táj.2!L689</f>
        <v>24845</v>
      </c>
      <c r="M689" s="7">
        <f>0+[1]táj.2!M689</f>
        <v>0</v>
      </c>
      <c r="N689" s="7">
        <f>0+[1]táj.2!N689</f>
        <v>0</v>
      </c>
      <c r="O689" s="7">
        <f>0+[1]táj.2!O689</f>
        <v>0</v>
      </c>
      <c r="P689" s="7">
        <f>0+[1]táj.2!P689</f>
        <v>0</v>
      </c>
      <c r="Q689" s="7">
        <f>SUM(G689:P689)</f>
        <v>24845</v>
      </c>
    </row>
    <row r="690" spans="1:17" ht="15.95" customHeight="1" x14ac:dyDescent="0.2">
      <c r="A690" s="135"/>
      <c r="B690" s="135"/>
      <c r="C690" s="178" t="s">
        <v>884</v>
      </c>
      <c r="D690" s="334" t="s">
        <v>1304</v>
      </c>
      <c r="E690" s="335"/>
      <c r="F690" s="7">
        <v>172920</v>
      </c>
      <c r="G690" s="7">
        <f>0+[1]táj.2!G690</f>
        <v>0</v>
      </c>
      <c r="H690" s="7">
        <f>0+[1]táj.2!H690</f>
        <v>0</v>
      </c>
      <c r="I690" s="7">
        <f>3768+[1]táj.2!I690</f>
        <v>3768</v>
      </c>
      <c r="J690" s="7">
        <f>0+[1]táj.2!J690</f>
        <v>0</v>
      </c>
      <c r="K690" s="7">
        <f>0+[1]táj.2!K690</f>
        <v>0</v>
      </c>
      <c r="L690" s="7">
        <f>0+[1]táj.2!L690</f>
        <v>0</v>
      </c>
      <c r="M690" s="7">
        <f>0+[1]táj.2!M690</f>
        <v>0</v>
      </c>
      <c r="N690" s="7">
        <f>0+[1]táj.2!N690</f>
        <v>0</v>
      </c>
      <c r="O690" s="7">
        <f>0+[1]táj.2!O690</f>
        <v>0</v>
      </c>
      <c r="P690" s="7">
        <f>25000+[1]táj.2!P690</f>
        <v>25000</v>
      </c>
      <c r="Q690" s="7">
        <f>SUM(G690:P690)</f>
        <v>28768</v>
      </c>
    </row>
    <row r="691" spans="1:17" ht="15.95" customHeight="1" x14ac:dyDescent="0.2">
      <c r="A691" s="135"/>
      <c r="B691" s="135"/>
      <c r="C691" s="178" t="s">
        <v>1305</v>
      </c>
      <c r="D691" s="139" t="s">
        <v>1306</v>
      </c>
      <c r="E691" s="329"/>
      <c r="F691" s="187">
        <v>172923</v>
      </c>
      <c r="G691" s="7">
        <f>0+[1]táj.2!G691</f>
        <v>0</v>
      </c>
      <c r="H691" s="7">
        <f>0+[1]táj.2!H691</f>
        <v>0</v>
      </c>
      <c r="I691" s="7">
        <f>3180+[1]táj.2!I691</f>
        <v>12180</v>
      </c>
      <c r="J691" s="7">
        <f>0+[1]táj.2!J691</f>
        <v>0</v>
      </c>
      <c r="K691" s="7">
        <f>0+[1]táj.2!K691</f>
        <v>0</v>
      </c>
      <c r="L691" s="7">
        <f>6785+[1]táj.2!L691</f>
        <v>6785</v>
      </c>
      <c r="M691" s="7">
        <f>0+[1]táj.2!M691</f>
        <v>0</v>
      </c>
      <c r="N691" s="7">
        <f>0+[1]táj.2!N691</f>
        <v>0</v>
      </c>
      <c r="O691" s="7">
        <f>0+[1]táj.2!O691</f>
        <v>0</v>
      </c>
      <c r="P691" s="7">
        <f>0+[1]táj.2!P691</f>
        <v>0</v>
      </c>
      <c r="Q691" s="7">
        <f>SUM(G691:P691)</f>
        <v>18965</v>
      </c>
    </row>
    <row r="692" spans="1:17" ht="15.95" customHeight="1" x14ac:dyDescent="0.2">
      <c r="A692" s="182"/>
      <c r="B692" s="182"/>
      <c r="C692" s="183"/>
      <c r="D692" s="147" t="s">
        <v>513</v>
      </c>
      <c r="E692" s="185"/>
      <c r="F692" s="52"/>
      <c r="G692" s="52">
        <f>SUM(G680:G691)</f>
        <v>0</v>
      </c>
      <c r="H692" s="52">
        <f t="shared" ref="H692:Q692" si="40">SUM(H680:H691)</f>
        <v>0</v>
      </c>
      <c r="I692" s="52">
        <f t="shared" si="40"/>
        <v>50961</v>
      </c>
      <c r="J692" s="52">
        <f t="shared" si="40"/>
        <v>0</v>
      </c>
      <c r="K692" s="52">
        <f t="shared" si="40"/>
        <v>0</v>
      </c>
      <c r="L692" s="52">
        <f t="shared" si="40"/>
        <v>128147</v>
      </c>
      <c r="M692" s="52">
        <f t="shared" si="40"/>
        <v>1966</v>
      </c>
      <c r="N692" s="52">
        <f t="shared" si="40"/>
        <v>30075</v>
      </c>
      <c r="O692" s="52">
        <f t="shared" si="40"/>
        <v>0</v>
      </c>
      <c r="P692" s="52">
        <f t="shared" si="40"/>
        <v>25000</v>
      </c>
      <c r="Q692" s="52">
        <f t="shared" si="40"/>
        <v>236149</v>
      </c>
    </row>
    <row r="693" spans="1:17" ht="14.1" customHeight="1" x14ac:dyDescent="0.2">
      <c r="A693" s="162">
        <v>1</v>
      </c>
      <c r="B693" s="162">
        <v>18</v>
      </c>
      <c r="C693" s="178"/>
      <c r="D693" s="241" t="s">
        <v>1307</v>
      </c>
      <c r="E693" s="9"/>
      <c r="F693" s="9"/>
      <c r="G693" s="7"/>
      <c r="H693" s="3"/>
      <c r="I693" s="3"/>
      <c r="J693" s="3"/>
      <c r="K693" s="3"/>
      <c r="L693" s="3"/>
      <c r="M693" s="7"/>
      <c r="N693" s="7"/>
      <c r="O693" s="7"/>
      <c r="P693" s="7"/>
      <c r="Q693" s="7"/>
    </row>
    <row r="694" spans="1:17" ht="14.1" customHeight="1" x14ac:dyDescent="0.2">
      <c r="A694" s="162"/>
      <c r="B694" s="162"/>
      <c r="C694" s="178"/>
      <c r="D694" s="247" t="s">
        <v>424</v>
      </c>
      <c r="E694" s="190"/>
      <c r="F694" s="190"/>
      <c r="G694" s="7"/>
      <c r="H694" s="3"/>
      <c r="I694" s="3"/>
      <c r="J694" s="3"/>
      <c r="K694" s="3"/>
      <c r="L694" s="3"/>
      <c r="M694" s="7"/>
      <c r="N694" s="7"/>
      <c r="O694" s="7"/>
      <c r="P694" s="7"/>
      <c r="Q694" s="7"/>
    </row>
    <row r="695" spans="1:17" ht="14.1" customHeight="1" x14ac:dyDescent="0.2">
      <c r="A695" s="162"/>
      <c r="B695" s="162"/>
      <c r="C695" s="178"/>
      <c r="D695" s="247" t="s">
        <v>1308</v>
      </c>
      <c r="E695" s="7">
        <v>2</v>
      </c>
      <c r="F695" s="7">
        <v>181905</v>
      </c>
      <c r="G695" s="7">
        <f>0+[1]táj.2!G695</f>
        <v>0</v>
      </c>
      <c r="H695" s="7">
        <f>0+[1]táj.2!H695</f>
        <v>0</v>
      </c>
      <c r="I695" s="7">
        <f>21276+[1]táj.2!I695</f>
        <v>21276</v>
      </c>
      <c r="J695" s="7">
        <f>0+[1]táj.2!J695</f>
        <v>0</v>
      </c>
      <c r="K695" s="7">
        <f>0+[1]táj.2!K695</f>
        <v>0</v>
      </c>
      <c r="L695" s="7">
        <f>0+[1]táj.2!L695</f>
        <v>0</v>
      </c>
      <c r="M695" s="7">
        <f>0+[1]táj.2!M695</f>
        <v>0</v>
      </c>
      <c r="N695" s="7">
        <f>0+[1]táj.2!N695</f>
        <v>0</v>
      </c>
      <c r="O695" s="7">
        <f>0+[1]táj.2!O695</f>
        <v>0</v>
      </c>
      <c r="P695" s="7">
        <f>0+[1]táj.2!P695</f>
        <v>0</v>
      </c>
      <c r="Q695" s="7">
        <f>SUM(G695:P695)</f>
        <v>21276</v>
      </c>
    </row>
    <row r="696" spans="1:17" ht="27.75" customHeight="1" x14ac:dyDescent="0.2">
      <c r="A696" s="162"/>
      <c r="B696" s="162"/>
      <c r="C696" s="178"/>
      <c r="D696" s="141" t="s">
        <v>1309</v>
      </c>
      <c r="E696" s="7">
        <v>1</v>
      </c>
      <c r="F696" s="7" t="s">
        <v>516</v>
      </c>
      <c r="G696" s="7">
        <f>0+[1]táj.2!G696</f>
        <v>0</v>
      </c>
      <c r="H696" s="7">
        <f>0+[1]táj.2!H696</f>
        <v>0</v>
      </c>
      <c r="I696" s="7">
        <f>30821+[1]táj.2!I696</f>
        <v>31093</v>
      </c>
      <c r="J696" s="7">
        <f>0+[1]táj.2!J696</f>
        <v>0</v>
      </c>
      <c r="K696" s="7">
        <f>0+[1]táj.2!K696</f>
        <v>0</v>
      </c>
      <c r="L696" s="7">
        <f>0+[1]táj.2!L696</f>
        <v>0</v>
      </c>
      <c r="M696" s="7">
        <f>0+[1]táj.2!M696</f>
        <v>0</v>
      </c>
      <c r="N696" s="7">
        <f>0+[1]táj.2!N696</f>
        <v>0</v>
      </c>
      <c r="O696" s="7">
        <f>0+[1]táj.2!O696</f>
        <v>0</v>
      </c>
      <c r="P696" s="7">
        <f>0+[1]táj.2!P696</f>
        <v>0</v>
      </c>
      <c r="Q696" s="7">
        <f>SUM(G696:P696)</f>
        <v>31093</v>
      </c>
    </row>
    <row r="697" spans="1:17" ht="14.1" customHeight="1" x14ac:dyDescent="0.2">
      <c r="A697" s="162"/>
      <c r="B697" s="162"/>
      <c r="C697" s="178"/>
      <c r="D697" s="247" t="s">
        <v>1310</v>
      </c>
      <c r="E697" s="7">
        <v>1</v>
      </c>
      <c r="F697" s="7">
        <v>181906</v>
      </c>
      <c r="G697" s="7">
        <f>0+[1]táj.2!G697</f>
        <v>0</v>
      </c>
      <c r="H697" s="7">
        <f>0+[1]táj.2!H697</f>
        <v>0</v>
      </c>
      <c r="I697" s="7">
        <f>9000+[1]táj.2!I697</f>
        <v>9000</v>
      </c>
      <c r="J697" s="7">
        <f>0+[1]táj.2!J697</f>
        <v>0</v>
      </c>
      <c r="K697" s="7">
        <f>0+[1]táj.2!K697</f>
        <v>0</v>
      </c>
      <c r="L697" s="7">
        <f>0+[1]táj.2!L697</f>
        <v>0</v>
      </c>
      <c r="M697" s="7">
        <f>0+[1]táj.2!M697</f>
        <v>0</v>
      </c>
      <c r="N697" s="7">
        <f>0+[1]táj.2!N697</f>
        <v>0</v>
      </c>
      <c r="O697" s="7">
        <f>0+[1]táj.2!O697</f>
        <v>0</v>
      </c>
      <c r="P697" s="7">
        <f>0+[1]táj.2!P697</f>
        <v>0</v>
      </c>
      <c r="Q697" s="7">
        <f>SUM(G697:P697)</f>
        <v>9000</v>
      </c>
    </row>
    <row r="698" spans="1:17" ht="14.1" customHeight="1" x14ac:dyDescent="0.2">
      <c r="A698" s="162"/>
      <c r="B698" s="162"/>
      <c r="C698" s="178"/>
      <c r="D698" s="265" t="s">
        <v>1311</v>
      </c>
      <c r="E698" s="7">
        <v>1</v>
      </c>
      <c r="F698" s="7">
        <v>182909</v>
      </c>
      <c r="G698" s="7">
        <f>0+[1]táj.2!G698</f>
        <v>0</v>
      </c>
      <c r="H698" s="7">
        <f>0+[1]táj.2!H698</f>
        <v>0</v>
      </c>
      <c r="I698" s="7">
        <f>189+[1]táj.2!I698</f>
        <v>189</v>
      </c>
      <c r="J698" s="7">
        <f>0+[1]táj.2!J698</f>
        <v>0</v>
      </c>
      <c r="K698" s="7">
        <f>0+[1]táj.2!K698</f>
        <v>0</v>
      </c>
      <c r="L698" s="7">
        <f>0+[1]táj.2!L698</f>
        <v>0</v>
      </c>
      <c r="M698" s="7">
        <f>0+[1]táj.2!M698</f>
        <v>0</v>
      </c>
      <c r="N698" s="7">
        <f>0+[1]táj.2!N698</f>
        <v>0</v>
      </c>
      <c r="O698" s="7">
        <f>0+[1]táj.2!O698</f>
        <v>0</v>
      </c>
      <c r="P698" s="7">
        <f>0+[1]táj.2!P698</f>
        <v>0</v>
      </c>
      <c r="Q698" s="7">
        <f>SUM(G698:P698)</f>
        <v>189</v>
      </c>
    </row>
    <row r="699" spans="1:17" ht="15" customHeight="1" x14ac:dyDescent="0.2">
      <c r="A699" s="162"/>
      <c r="B699" s="162"/>
      <c r="C699" s="178"/>
      <c r="D699" s="143" t="s">
        <v>416</v>
      </c>
      <c r="E699" s="196"/>
      <c r="F699" s="19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15" customHeight="1" x14ac:dyDescent="0.2">
      <c r="A700" s="162"/>
      <c r="B700" s="162"/>
      <c r="C700" s="178"/>
      <c r="D700" s="247" t="s">
        <v>1312</v>
      </c>
      <c r="E700" s="10">
        <v>1</v>
      </c>
      <c r="F700" s="7">
        <v>221950</v>
      </c>
      <c r="G700" s="7">
        <f>149479+[1]táj.2!G700</f>
        <v>149479</v>
      </c>
      <c r="H700" s="7">
        <f>27014+[1]táj.2!H700</f>
        <v>27014</v>
      </c>
      <c r="I700" s="7">
        <f>1200+[1]táj.2!I700</f>
        <v>1200</v>
      </c>
      <c r="J700" s="7">
        <f>0+[1]táj.2!J700</f>
        <v>0</v>
      </c>
      <c r="K700" s="7">
        <f>0+[1]táj.2!K700</f>
        <v>0</v>
      </c>
      <c r="L700" s="7">
        <f>0+[1]táj.2!L700</f>
        <v>0</v>
      </c>
      <c r="M700" s="7">
        <f>0+[1]táj.2!M700</f>
        <v>0</v>
      </c>
      <c r="N700" s="7">
        <f>0+[1]táj.2!N700</f>
        <v>0</v>
      </c>
      <c r="O700" s="7">
        <f>0+[1]táj.2!O700</f>
        <v>0</v>
      </c>
      <c r="P700" s="7">
        <f>0+[1]táj.2!P700</f>
        <v>0</v>
      </c>
      <c r="Q700" s="336">
        <f>SUM(G700:P700)</f>
        <v>177693</v>
      </c>
    </row>
    <row r="701" spans="1:17" ht="24.95" customHeight="1" x14ac:dyDescent="0.2">
      <c r="A701" s="162"/>
      <c r="B701" s="162"/>
      <c r="C701" s="178"/>
      <c r="D701" s="141" t="s">
        <v>1313</v>
      </c>
      <c r="E701" s="171">
        <v>1</v>
      </c>
      <c r="F701" s="7">
        <v>181907</v>
      </c>
      <c r="G701" s="7">
        <f>0+[1]táj.2!G701</f>
        <v>0</v>
      </c>
      <c r="H701" s="7">
        <f>0+[1]táj.2!H701</f>
        <v>0</v>
      </c>
      <c r="I701" s="7">
        <f>16654+[1]táj.2!I701</f>
        <v>16910</v>
      </c>
      <c r="J701" s="7">
        <f>0+[1]táj.2!J701</f>
        <v>0</v>
      </c>
      <c r="K701" s="7">
        <f>0+[1]táj.2!K701</f>
        <v>0</v>
      </c>
      <c r="L701" s="7">
        <f>0+[1]táj.2!L701</f>
        <v>0</v>
      </c>
      <c r="M701" s="7">
        <f>0+[1]táj.2!M701</f>
        <v>0</v>
      </c>
      <c r="N701" s="7">
        <f>0+[1]táj.2!N701</f>
        <v>0</v>
      </c>
      <c r="O701" s="7">
        <f>0+[1]táj.2!O701</f>
        <v>0</v>
      </c>
      <c r="P701" s="7">
        <f>0+[1]táj.2!P701</f>
        <v>0</v>
      </c>
      <c r="Q701" s="7">
        <f>SUM(G701:P701)</f>
        <v>16910</v>
      </c>
    </row>
    <row r="702" spans="1:17" ht="15.75" customHeight="1" x14ac:dyDescent="0.2">
      <c r="A702" s="162"/>
      <c r="B702" s="162"/>
      <c r="C702" s="178"/>
      <c r="D702" s="247" t="s">
        <v>1314</v>
      </c>
      <c r="E702" s="171"/>
      <c r="F702" s="171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12.75" customHeight="1" x14ac:dyDescent="0.2">
      <c r="A703" s="162"/>
      <c r="B703" s="162"/>
      <c r="C703" s="178"/>
      <c r="D703" s="141" t="s">
        <v>1315</v>
      </c>
      <c r="E703" s="171">
        <v>1</v>
      </c>
      <c r="F703" s="7">
        <v>181909</v>
      </c>
      <c r="G703" s="7">
        <f>0+[1]táj.2!G703</f>
        <v>0</v>
      </c>
      <c r="H703" s="7">
        <f>0+[1]táj.2!H703</f>
        <v>0</v>
      </c>
      <c r="I703" s="7">
        <f>2000+[1]táj.2!I703</f>
        <v>2000</v>
      </c>
      <c r="J703" s="7">
        <f>0+[1]táj.2!J703</f>
        <v>0</v>
      </c>
      <c r="K703" s="7">
        <f>500+[1]táj.2!K703</f>
        <v>500</v>
      </c>
      <c r="L703" s="7">
        <f>0+[1]táj.2!L703</f>
        <v>0</v>
      </c>
      <c r="M703" s="7">
        <f>0+[1]táj.2!M703</f>
        <v>0</v>
      </c>
      <c r="N703" s="7">
        <f>0+[1]táj.2!N703</f>
        <v>0</v>
      </c>
      <c r="O703" s="7">
        <f>0+[1]táj.2!O703</f>
        <v>0</v>
      </c>
      <c r="P703" s="7">
        <f>0+[1]táj.2!P703</f>
        <v>0</v>
      </c>
      <c r="Q703" s="7">
        <f>SUM(G703:P703)</f>
        <v>2500</v>
      </c>
    </row>
    <row r="704" spans="1:17" ht="26.25" customHeight="1" x14ac:dyDescent="0.2">
      <c r="A704" s="162"/>
      <c r="B704" s="162"/>
      <c r="C704" s="178"/>
      <c r="D704" s="141" t="s">
        <v>1316</v>
      </c>
      <c r="E704" s="196">
        <v>2</v>
      </c>
      <c r="F704" s="25">
        <v>191142</v>
      </c>
      <c r="G704" s="7">
        <f>0+[1]táj.2!G704</f>
        <v>0</v>
      </c>
      <c r="H704" s="7">
        <f>0+[1]táj.2!H704</f>
        <v>0</v>
      </c>
      <c r="I704" s="7">
        <f>0+[1]táj.2!I704</f>
        <v>0</v>
      </c>
      <c r="J704" s="7">
        <f>0+[1]táj.2!J704</f>
        <v>0</v>
      </c>
      <c r="K704" s="7">
        <f>1000+[1]táj.2!K704</f>
        <v>1000</v>
      </c>
      <c r="L704" s="7">
        <f>0+[1]táj.2!L704</f>
        <v>0</v>
      </c>
      <c r="M704" s="7">
        <f>0+[1]táj.2!M704</f>
        <v>0</v>
      </c>
      <c r="N704" s="7">
        <f>0+[1]táj.2!N704</f>
        <v>0</v>
      </c>
      <c r="O704" s="7">
        <f>0+[1]táj.2!O704</f>
        <v>0</v>
      </c>
      <c r="P704" s="7">
        <f>0+[1]táj.2!P704</f>
        <v>0</v>
      </c>
      <c r="Q704" s="7">
        <f>SUM(G704:P704)</f>
        <v>1000</v>
      </c>
    </row>
    <row r="705" spans="1:17" ht="29.25" customHeight="1" x14ac:dyDescent="0.2">
      <c r="A705" s="162"/>
      <c r="B705" s="162"/>
      <c r="C705" s="178"/>
      <c r="D705" s="141" t="s">
        <v>1317</v>
      </c>
      <c r="E705" s="196">
        <v>2</v>
      </c>
      <c r="F705" s="25">
        <v>191154</v>
      </c>
      <c r="G705" s="7">
        <f>0+[1]táj.2!G705</f>
        <v>0</v>
      </c>
      <c r="H705" s="7">
        <f>0+[1]táj.2!H705</f>
        <v>0</v>
      </c>
      <c r="I705" s="7">
        <f>0+[1]táj.2!I705</f>
        <v>0</v>
      </c>
      <c r="J705" s="7">
        <f>0+[1]táj.2!J705</f>
        <v>0</v>
      </c>
      <c r="K705" s="7">
        <f>3500+[1]táj.2!K705</f>
        <v>3500</v>
      </c>
      <c r="L705" s="7">
        <f>0+[1]táj.2!L705</f>
        <v>0</v>
      </c>
      <c r="M705" s="7">
        <f>0+[1]táj.2!M705</f>
        <v>0</v>
      </c>
      <c r="N705" s="7">
        <f>0+[1]táj.2!N705</f>
        <v>0</v>
      </c>
      <c r="O705" s="7">
        <f>0+[1]táj.2!O705</f>
        <v>0</v>
      </c>
      <c r="P705" s="7">
        <f>0+[1]táj.2!P705</f>
        <v>0</v>
      </c>
      <c r="Q705" s="7">
        <f>SUM(G705:P705)</f>
        <v>3500</v>
      </c>
    </row>
    <row r="706" spans="1:17" ht="25.5" customHeight="1" x14ac:dyDescent="0.2">
      <c r="A706" s="162"/>
      <c r="B706" s="162"/>
      <c r="C706" s="178"/>
      <c r="D706" s="141" t="s">
        <v>1318</v>
      </c>
      <c r="E706" s="196">
        <v>2</v>
      </c>
      <c r="F706" s="25">
        <v>191145</v>
      </c>
      <c r="G706" s="7">
        <f>0+[1]táj.2!G706</f>
        <v>0</v>
      </c>
      <c r="H706" s="7">
        <f>0+[1]táj.2!H706</f>
        <v>0</v>
      </c>
      <c r="I706" s="7">
        <f>0+[1]táj.2!I706</f>
        <v>0</v>
      </c>
      <c r="J706" s="7">
        <f>0+[1]táj.2!J706</f>
        <v>0</v>
      </c>
      <c r="K706" s="7">
        <f>2000+[1]táj.2!K706</f>
        <v>2000</v>
      </c>
      <c r="L706" s="7">
        <f>0+[1]táj.2!L706</f>
        <v>0</v>
      </c>
      <c r="M706" s="7">
        <f>0+[1]táj.2!M706</f>
        <v>0</v>
      </c>
      <c r="N706" s="7">
        <f>0+[1]táj.2!N706</f>
        <v>0</v>
      </c>
      <c r="O706" s="7">
        <f>0+[1]táj.2!O706</f>
        <v>0</v>
      </c>
      <c r="P706" s="7">
        <f>0+[1]táj.2!P706</f>
        <v>0</v>
      </c>
      <c r="Q706" s="7">
        <f>SUM(G706:P706)</f>
        <v>2000</v>
      </c>
    </row>
    <row r="707" spans="1:17" ht="15" customHeight="1" x14ac:dyDescent="0.2">
      <c r="A707" s="162"/>
      <c r="B707" s="162"/>
      <c r="C707" s="178"/>
      <c r="D707" s="141" t="s">
        <v>1319</v>
      </c>
      <c r="E707" s="171"/>
      <c r="F707" s="171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 x14ac:dyDescent="0.2">
      <c r="A708" s="162"/>
      <c r="B708" s="162"/>
      <c r="C708" s="178"/>
      <c r="D708" s="141" t="s">
        <v>1320</v>
      </c>
      <c r="E708" s="171">
        <v>1</v>
      </c>
      <c r="F708" s="7">
        <v>181902</v>
      </c>
      <c r="G708" s="7">
        <f>0+[1]táj.2!G708</f>
        <v>0</v>
      </c>
      <c r="H708" s="7">
        <f>0+[1]táj.2!H708</f>
        <v>0</v>
      </c>
      <c r="I708" s="7">
        <f>300+[1]táj.2!I708</f>
        <v>300</v>
      </c>
      <c r="J708" s="7">
        <f>0+[1]táj.2!J708</f>
        <v>0</v>
      </c>
      <c r="K708" s="7">
        <f>0+[1]táj.2!K708</f>
        <v>0</v>
      </c>
      <c r="L708" s="7">
        <f>0+[1]táj.2!L708</f>
        <v>0</v>
      </c>
      <c r="M708" s="7">
        <f>0+[1]táj.2!M708</f>
        <v>0</v>
      </c>
      <c r="N708" s="7">
        <f>0+[1]táj.2!N708</f>
        <v>0</v>
      </c>
      <c r="O708" s="7">
        <f>0+[1]táj.2!O708</f>
        <v>0</v>
      </c>
      <c r="P708" s="7">
        <f>0+[1]táj.2!P708</f>
        <v>0</v>
      </c>
      <c r="Q708" s="7">
        <f>SUM(G708:P708)</f>
        <v>300</v>
      </c>
    </row>
    <row r="709" spans="1:17" ht="15" customHeight="1" x14ac:dyDescent="0.2">
      <c r="A709" s="162"/>
      <c r="B709" s="162"/>
      <c r="C709" s="178"/>
      <c r="D709" s="141" t="s">
        <v>1321</v>
      </c>
      <c r="E709" s="171">
        <v>1</v>
      </c>
      <c r="F709" s="7">
        <v>181903</v>
      </c>
      <c r="G709" s="7">
        <f>0+[1]táj.2!G709</f>
        <v>0</v>
      </c>
      <c r="H709" s="7">
        <f>0+[1]táj.2!H709</f>
        <v>0</v>
      </c>
      <c r="I709" s="7">
        <f>100+[1]táj.2!I709</f>
        <v>100</v>
      </c>
      <c r="J709" s="7">
        <f>0+[1]táj.2!J709</f>
        <v>0</v>
      </c>
      <c r="K709" s="7">
        <f>0+[1]táj.2!K709</f>
        <v>0</v>
      </c>
      <c r="L709" s="7">
        <f>0+[1]táj.2!L709</f>
        <v>0</v>
      </c>
      <c r="M709" s="7">
        <f>0+[1]táj.2!M709</f>
        <v>0</v>
      </c>
      <c r="N709" s="7">
        <f>0+[1]táj.2!N709</f>
        <v>0</v>
      </c>
      <c r="O709" s="7">
        <f>0+[1]táj.2!O709</f>
        <v>0</v>
      </c>
      <c r="P709" s="7">
        <f>0+[1]táj.2!P709</f>
        <v>0</v>
      </c>
      <c r="Q709" s="7">
        <f>SUM(G709:P709)</f>
        <v>100</v>
      </c>
    </row>
    <row r="710" spans="1:17" ht="14.1" customHeight="1" x14ac:dyDescent="0.2">
      <c r="A710" s="337"/>
      <c r="B710" s="337"/>
      <c r="C710" s="337"/>
      <c r="D710" s="247" t="s">
        <v>1322</v>
      </c>
      <c r="E710" s="7">
        <v>1</v>
      </c>
      <c r="F710" s="7">
        <v>181904</v>
      </c>
      <c r="G710" s="7">
        <f>0+[1]táj.2!G710</f>
        <v>0</v>
      </c>
      <c r="H710" s="7">
        <f>0+[1]táj.2!H710</f>
        <v>0</v>
      </c>
      <c r="I710" s="7">
        <f>300+[1]táj.2!I710</f>
        <v>300</v>
      </c>
      <c r="J710" s="7">
        <f>0+[1]táj.2!J710</f>
        <v>0</v>
      </c>
      <c r="K710" s="7">
        <f>0+[1]táj.2!K710</f>
        <v>0</v>
      </c>
      <c r="L710" s="7">
        <f>0+[1]táj.2!L710</f>
        <v>0</v>
      </c>
      <c r="M710" s="7">
        <f>0+[1]táj.2!M710</f>
        <v>0</v>
      </c>
      <c r="N710" s="7">
        <f>0+[1]táj.2!N710</f>
        <v>0</v>
      </c>
      <c r="O710" s="7">
        <f>0+[1]táj.2!O710</f>
        <v>0</v>
      </c>
      <c r="P710" s="7">
        <f>0+[1]táj.2!P710</f>
        <v>0</v>
      </c>
      <c r="Q710" s="7">
        <f>SUM(G710:P710)</f>
        <v>300</v>
      </c>
    </row>
    <row r="711" spans="1:17" ht="15" customHeight="1" x14ac:dyDescent="0.2">
      <c r="A711" s="52"/>
      <c r="B711" s="52"/>
      <c r="C711" s="184"/>
      <c r="D711" s="147" t="s">
        <v>1323</v>
      </c>
      <c r="E711" s="185"/>
      <c r="F711" s="185"/>
      <c r="G711" s="250">
        <f>SUM(G695:G710)</f>
        <v>149479</v>
      </c>
      <c r="H711" s="250">
        <f t="shared" ref="H711:Q711" si="41">SUM(H695:H710)</f>
        <v>27014</v>
      </c>
      <c r="I711" s="250">
        <f t="shared" si="41"/>
        <v>82368</v>
      </c>
      <c r="J711" s="250">
        <f t="shared" si="41"/>
        <v>0</v>
      </c>
      <c r="K711" s="250">
        <f t="shared" si="41"/>
        <v>7000</v>
      </c>
      <c r="L711" s="250">
        <f t="shared" si="41"/>
        <v>0</v>
      </c>
      <c r="M711" s="250">
        <f t="shared" si="41"/>
        <v>0</v>
      </c>
      <c r="N711" s="250">
        <f t="shared" si="41"/>
        <v>0</v>
      </c>
      <c r="O711" s="250">
        <f t="shared" si="41"/>
        <v>0</v>
      </c>
      <c r="P711" s="250">
        <f t="shared" si="41"/>
        <v>0</v>
      </c>
      <c r="Q711" s="250">
        <f t="shared" si="41"/>
        <v>265861</v>
      </c>
    </row>
    <row r="712" spans="1:17" ht="15" customHeight="1" x14ac:dyDescent="0.2">
      <c r="A712" s="8"/>
      <c r="B712" s="8"/>
      <c r="C712" s="224"/>
      <c r="D712" s="251" t="s">
        <v>1324</v>
      </c>
      <c r="E712" s="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ht="15" customHeight="1" x14ac:dyDescent="0.2">
      <c r="A713" s="8"/>
      <c r="B713" s="8"/>
      <c r="C713" s="294" t="s">
        <v>211</v>
      </c>
      <c r="D713" s="595" t="s">
        <v>1325</v>
      </c>
      <c r="E713" s="338"/>
      <c r="F713" s="341">
        <v>182911</v>
      </c>
      <c r="G713" s="339">
        <f>0+[1]táj.2!G713</f>
        <v>0</v>
      </c>
      <c r="H713" s="339">
        <f>0+[1]táj.2!H713</f>
        <v>0</v>
      </c>
      <c r="I713" s="339">
        <f>0+[1]táj.2!I713</f>
        <v>0</v>
      </c>
      <c r="J713" s="339">
        <f>0+[1]táj.2!J713</f>
        <v>0</v>
      </c>
      <c r="K713" s="339">
        <f>0+[1]táj.2!K713</f>
        <v>0</v>
      </c>
      <c r="L713" s="339">
        <f>2000+[1]táj.2!L713</f>
        <v>2000</v>
      </c>
      <c r="M713" s="339">
        <f>0+[1]táj.2!M713</f>
        <v>0</v>
      </c>
      <c r="N713" s="339">
        <f>0+[1]táj.2!N713</f>
        <v>0</v>
      </c>
      <c r="O713" s="339">
        <f>0+[1]táj.2!O713</f>
        <v>0</v>
      </c>
      <c r="P713" s="339">
        <f>0+[1]táj.2!P713</f>
        <v>0</v>
      </c>
      <c r="Q713" s="3">
        <f>SUM(L713:P713)</f>
        <v>2000</v>
      </c>
    </row>
    <row r="714" spans="1:17" ht="15" customHeight="1" x14ac:dyDescent="0.2">
      <c r="A714" s="8"/>
      <c r="B714" s="8"/>
      <c r="C714" s="340"/>
      <c r="D714" s="247" t="s">
        <v>584</v>
      </c>
      <c r="E714" s="338"/>
      <c r="F714" s="341"/>
      <c r="G714" s="339"/>
      <c r="H714" s="339"/>
      <c r="I714" s="339"/>
      <c r="J714" s="339"/>
      <c r="K714" s="339"/>
      <c r="L714" s="339"/>
      <c r="M714" s="339"/>
      <c r="N714" s="339"/>
      <c r="O714" s="3"/>
      <c r="P714" s="3"/>
      <c r="Q714" s="3"/>
    </row>
    <row r="715" spans="1:17" ht="15" customHeight="1" x14ac:dyDescent="0.2">
      <c r="A715" s="8"/>
      <c r="B715" s="8"/>
      <c r="C715" s="178" t="s">
        <v>585</v>
      </c>
      <c r="D715" s="255" t="s">
        <v>1326</v>
      </c>
      <c r="E715" s="331"/>
      <c r="F715" s="342">
        <v>182905</v>
      </c>
      <c r="G715" s="339">
        <f>0+[1]táj.2!G715</f>
        <v>0</v>
      </c>
      <c r="H715" s="339">
        <f>0+[1]táj.2!H715</f>
        <v>0</v>
      </c>
      <c r="I715" s="339">
        <f>0+[1]táj.2!I715</f>
        <v>0</v>
      </c>
      <c r="J715" s="339">
        <f>0+[1]táj.2!J715</f>
        <v>0</v>
      </c>
      <c r="K715" s="339">
        <f>0+[1]táj.2!K715</f>
        <v>0</v>
      </c>
      <c r="L715" s="339">
        <f>8065+[1]táj.2!L715</f>
        <v>8065</v>
      </c>
      <c r="M715" s="339">
        <f>0+[1]táj.2!M715</f>
        <v>0</v>
      </c>
      <c r="N715" s="339">
        <f>0+[1]táj.2!N715</f>
        <v>0</v>
      </c>
      <c r="O715" s="339">
        <f>0+[1]táj.2!O715</f>
        <v>0</v>
      </c>
      <c r="P715" s="339">
        <f>0+[1]táj.2!P715</f>
        <v>0</v>
      </c>
      <c r="Q715" s="3">
        <f>SUM(G715:P715)</f>
        <v>8065</v>
      </c>
    </row>
    <row r="716" spans="1:17" ht="15" customHeight="1" x14ac:dyDescent="0.2">
      <c r="A716" s="52"/>
      <c r="B716" s="52"/>
      <c r="C716" s="184"/>
      <c r="D716" s="147" t="s">
        <v>1327</v>
      </c>
      <c r="E716" s="185"/>
      <c r="F716" s="185"/>
      <c r="G716" s="250">
        <f>SUM(G711:G715)</f>
        <v>149479</v>
      </c>
      <c r="H716" s="250">
        <f t="shared" ref="H716:Q716" si="42">SUM(H711:H715)</f>
        <v>27014</v>
      </c>
      <c r="I716" s="250">
        <f t="shared" si="42"/>
        <v>82368</v>
      </c>
      <c r="J716" s="250">
        <f t="shared" si="42"/>
        <v>0</v>
      </c>
      <c r="K716" s="250">
        <f t="shared" si="42"/>
        <v>7000</v>
      </c>
      <c r="L716" s="250">
        <f t="shared" si="42"/>
        <v>10065</v>
      </c>
      <c r="M716" s="250">
        <f t="shared" si="42"/>
        <v>0</v>
      </c>
      <c r="N716" s="250">
        <f t="shared" si="42"/>
        <v>0</v>
      </c>
      <c r="O716" s="250">
        <f t="shared" si="42"/>
        <v>0</v>
      </c>
      <c r="P716" s="250">
        <f t="shared" si="42"/>
        <v>0</v>
      </c>
      <c r="Q716" s="250">
        <f t="shared" si="42"/>
        <v>275926</v>
      </c>
    </row>
    <row r="717" spans="1:17" ht="15" customHeight="1" x14ac:dyDescent="0.2">
      <c r="A717" s="162">
        <v>1</v>
      </c>
      <c r="B717" s="162">
        <v>19</v>
      </c>
      <c r="C717" s="178"/>
      <c r="D717" s="241" t="s">
        <v>1328</v>
      </c>
      <c r="E717" s="187"/>
      <c r="F717" s="187"/>
      <c r="G717" s="7"/>
      <c r="H717" s="3"/>
      <c r="I717" s="3"/>
      <c r="J717" s="3"/>
      <c r="K717" s="3"/>
      <c r="L717" s="3"/>
      <c r="M717" s="7"/>
      <c r="N717" s="7"/>
      <c r="O717" s="7"/>
      <c r="P717" s="7"/>
      <c r="Q717" s="7"/>
    </row>
    <row r="718" spans="1:17" ht="15" customHeight="1" x14ac:dyDescent="0.2">
      <c r="A718" s="162"/>
      <c r="B718" s="162"/>
      <c r="C718" s="178"/>
      <c r="D718" s="258" t="s">
        <v>1329</v>
      </c>
      <c r="E718" s="190"/>
      <c r="F718" s="190"/>
      <c r="G718" s="7"/>
      <c r="H718" s="3"/>
      <c r="I718" s="3"/>
      <c r="J718" s="3"/>
      <c r="K718" s="3"/>
      <c r="L718" s="3"/>
      <c r="M718" s="7"/>
      <c r="N718" s="7"/>
      <c r="O718" s="7"/>
      <c r="P718" s="7"/>
      <c r="Q718" s="7"/>
    </row>
    <row r="719" spans="1:17" ht="15" customHeight="1" x14ac:dyDescent="0.2">
      <c r="A719" s="162"/>
      <c r="B719" s="162"/>
      <c r="C719" s="178"/>
      <c r="D719" s="247" t="s">
        <v>1330</v>
      </c>
      <c r="E719" s="171">
        <v>1</v>
      </c>
      <c r="F719" s="7">
        <v>191101</v>
      </c>
      <c r="G719" s="7">
        <f>0+[1]táj.2!G719</f>
        <v>0</v>
      </c>
      <c r="H719" s="7">
        <f>0+[1]táj.2!H719</f>
        <v>0</v>
      </c>
      <c r="I719" s="7">
        <f>0+[1]táj.2!I719</f>
        <v>0</v>
      </c>
      <c r="J719" s="7">
        <f>0+[1]táj.2!J719</f>
        <v>0</v>
      </c>
      <c r="K719" s="7">
        <f>6000+[1]táj.2!K719</f>
        <v>6000</v>
      </c>
      <c r="L719" s="7">
        <f>0+[1]táj.2!L719</f>
        <v>0</v>
      </c>
      <c r="M719" s="7">
        <f>0+[1]táj.2!M719</f>
        <v>0</v>
      </c>
      <c r="N719" s="7">
        <f>0+[1]táj.2!N719</f>
        <v>0</v>
      </c>
      <c r="O719" s="7">
        <f>0+[1]táj.2!O719</f>
        <v>0</v>
      </c>
      <c r="P719" s="7">
        <f>0+[1]táj.2!P719</f>
        <v>0</v>
      </c>
      <c r="Q719" s="7">
        <f>SUM(G719:P719)</f>
        <v>6000</v>
      </c>
    </row>
    <row r="720" spans="1:17" ht="15" customHeight="1" x14ac:dyDescent="0.2">
      <c r="A720" s="162"/>
      <c r="B720" s="162"/>
      <c r="C720" s="178"/>
      <c r="D720" s="247" t="s">
        <v>1331</v>
      </c>
      <c r="E720" s="171">
        <v>1</v>
      </c>
      <c r="F720" s="7">
        <v>191901</v>
      </c>
      <c r="G720" s="7">
        <f>0+[1]táj.2!G720</f>
        <v>0</v>
      </c>
      <c r="H720" s="7">
        <f>0+[1]táj.2!H720</f>
        <v>0</v>
      </c>
      <c r="I720" s="7">
        <f>0+[1]táj.2!I720</f>
        <v>0</v>
      </c>
      <c r="J720" s="7">
        <f>0+[1]táj.2!J720</f>
        <v>0</v>
      </c>
      <c r="K720" s="7">
        <f>0+[1]táj.2!K720</f>
        <v>0</v>
      </c>
      <c r="L720" s="7">
        <f>0+[1]táj.2!L720</f>
        <v>0</v>
      </c>
      <c r="M720" s="7">
        <f>0+[1]táj.2!M720</f>
        <v>0</v>
      </c>
      <c r="N720" s="7">
        <f>0+[1]táj.2!N720</f>
        <v>0</v>
      </c>
      <c r="O720" s="7">
        <f>0+[1]táj.2!O720</f>
        <v>0</v>
      </c>
      <c r="P720" s="7">
        <f>99786+[1]táj.2!P720</f>
        <v>99786</v>
      </c>
      <c r="Q720" s="7">
        <f>SUM(G720:P720)</f>
        <v>99786</v>
      </c>
    </row>
    <row r="721" spans="1:17" ht="15" customHeight="1" x14ac:dyDescent="0.2">
      <c r="A721" s="162"/>
      <c r="B721" s="162"/>
      <c r="C721" s="178"/>
      <c r="D721" s="247" t="s">
        <v>1332</v>
      </c>
      <c r="E721" s="171">
        <v>1</v>
      </c>
      <c r="F721" s="7">
        <v>191901</v>
      </c>
      <c r="G721" s="7">
        <f>0+[1]táj.2!G721</f>
        <v>0</v>
      </c>
      <c r="H721" s="7">
        <f>0+[1]táj.2!H721</f>
        <v>0</v>
      </c>
      <c r="I721" s="7">
        <f>0+[1]táj.2!I721</f>
        <v>0</v>
      </c>
      <c r="J721" s="7">
        <f>0+[1]táj.2!J721</f>
        <v>0</v>
      </c>
      <c r="K721" s="7">
        <f>0+[1]táj.2!K721</f>
        <v>0</v>
      </c>
      <c r="L721" s="7">
        <f>0+[1]táj.2!L721</f>
        <v>0</v>
      </c>
      <c r="M721" s="7">
        <f>0+[1]táj.2!M721</f>
        <v>0</v>
      </c>
      <c r="N721" s="7">
        <f>0+[1]táj.2!N721</f>
        <v>0</v>
      </c>
      <c r="O721" s="7">
        <f>0+[1]táj.2!O721</f>
        <v>0</v>
      </c>
      <c r="P721" s="7">
        <f>0+[1]táj.2!P721</f>
        <v>0</v>
      </c>
      <c r="Q721" s="7">
        <f>SUM(G721:P721)</f>
        <v>0</v>
      </c>
    </row>
    <row r="722" spans="1:17" ht="15" customHeight="1" x14ac:dyDescent="0.2">
      <c r="A722" s="162"/>
      <c r="B722" s="162"/>
      <c r="C722" s="178"/>
      <c r="D722" s="145" t="s">
        <v>83</v>
      </c>
      <c r="E722" s="171">
        <v>1</v>
      </c>
      <c r="F722" s="7">
        <v>191901</v>
      </c>
      <c r="G722" s="7">
        <f>0+[1]táj.2!G722</f>
        <v>0</v>
      </c>
      <c r="H722" s="7">
        <f>0+[1]táj.2!H722</f>
        <v>0</v>
      </c>
      <c r="I722" s="7">
        <f>0+[1]táj.2!I722</f>
        <v>0</v>
      </c>
      <c r="J722" s="7">
        <f>0+[1]táj.2!J722</f>
        <v>0</v>
      </c>
      <c r="K722" s="7">
        <f>0+[1]táj.2!K722</f>
        <v>0</v>
      </c>
      <c r="L722" s="7">
        <f>0+[1]táj.2!L722</f>
        <v>0</v>
      </c>
      <c r="M722" s="7">
        <f>0+[1]táj.2!M722</f>
        <v>0</v>
      </c>
      <c r="N722" s="7">
        <f>0+[1]táj.2!N722</f>
        <v>0</v>
      </c>
      <c r="O722" s="7">
        <f>0+[1]táj.2!O722</f>
        <v>0</v>
      </c>
      <c r="P722" s="7">
        <f>1020+[1]táj.2!P722</f>
        <v>1519</v>
      </c>
      <c r="Q722" s="7">
        <f>SUM(G722:P722)</f>
        <v>1519</v>
      </c>
    </row>
    <row r="723" spans="1:17" ht="15" customHeight="1" x14ac:dyDescent="0.2">
      <c r="A723" s="162"/>
      <c r="B723" s="162"/>
      <c r="C723" s="178"/>
      <c r="D723" s="143" t="s">
        <v>416</v>
      </c>
      <c r="E723" s="196"/>
      <c r="F723" s="19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15" customHeight="1" x14ac:dyDescent="0.2">
      <c r="A724" s="162"/>
      <c r="B724" s="162"/>
      <c r="C724" s="178"/>
      <c r="D724" s="247" t="s">
        <v>1333</v>
      </c>
      <c r="E724" s="171">
        <v>1</v>
      </c>
      <c r="F724" s="7">
        <v>191102</v>
      </c>
      <c r="G724" s="7">
        <f>0+[1]táj.2!G724</f>
        <v>0</v>
      </c>
      <c r="H724" s="7">
        <f>0+[1]táj.2!H724</f>
        <v>0</v>
      </c>
      <c r="I724" s="7">
        <f>25000+[1]táj.2!I724</f>
        <v>25000</v>
      </c>
      <c r="J724" s="7">
        <f>0+[1]táj.2!J724</f>
        <v>0</v>
      </c>
      <c r="K724" s="7">
        <f>0+[1]táj.2!K724</f>
        <v>0</v>
      </c>
      <c r="L724" s="7">
        <f>0+[1]táj.2!L724</f>
        <v>0</v>
      </c>
      <c r="M724" s="7">
        <f>0+[1]táj.2!M724</f>
        <v>0</v>
      </c>
      <c r="N724" s="7">
        <f>0+[1]táj.2!N724</f>
        <v>0</v>
      </c>
      <c r="O724" s="7">
        <f>0+[1]táj.2!O724</f>
        <v>0</v>
      </c>
      <c r="P724" s="7">
        <f>0+[1]táj.2!P724</f>
        <v>0</v>
      </c>
      <c r="Q724" s="7">
        <f>SUM(G724:P724)</f>
        <v>25000</v>
      </c>
    </row>
    <row r="725" spans="1:17" ht="15" customHeight="1" x14ac:dyDescent="0.2">
      <c r="A725" s="162"/>
      <c r="B725" s="162"/>
      <c r="C725" s="178"/>
      <c r="D725" s="247" t="s">
        <v>1334</v>
      </c>
      <c r="E725" s="7">
        <v>1</v>
      </c>
      <c r="F725" s="7">
        <v>191103</v>
      </c>
      <c r="G725" s="7">
        <f>0+[1]táj.2!G725</f>
        <v>0</v>
      </c>
      <c r="H725" s="7">
        <f>0+[1]táj.2!H725</f>
        <v>0</v>
      </c>
      <c r="I725" s="7">
        <f>233803+[1]táj.2!I725</f>
        <v>284885</v>
      </c>
      <c r="J725" s="7">
        <f>0+[1]táj.2!J725</f>
        <v>0</v>
      </c>
      <c r="K725" s="7">
        <f>0+[1]táj.2!K725</f>
        <v>0</v>
      </c>
      <c r="L725" s="7">
        <f>0+[1]táj.2!L725</f>
        <v>0</v>
      </c>
      <c r="M725" s="7">
        <f>0+[1]táj.2!M725</f>
        <v>0</v>
      </c>
      <c r="N725" s="7">
        <f>0+[1]táj.2!N725</f>
        <v>0</v>
      </c>
      <c r="O725" s="7">
        <f>0+[1]táj.2!O725</f>
        <v>0</v>
      </c>
      <c r="P725" s="7">
        <f>0+[1]táj.2!P725</f>
        <v>0</v>
      </c>
      <c r="Q725" s="7">
        <f>SUM(G725:P725)</f>
        <v>284885</v>
      </c>
    </row>
    <row r="726" spans="1:17" ht="15" customHeight="1" x14ac:dyDescent="0.2">
      <c r="A726" s="162"/>
      <c r="B726" s="162"/>
      <c r="C726" s="178"/>
      <c r="D726" s="247" t="s">
        <v>1335</v>
      </c>
      <c r="E726" s="7">
        <v>1</v>
      </c>
      <c r="F726" s="7">
        <v>191105</v>
      </c>
      <c r="G726" s="7">
        <f>0+[1]táj.2!G726</f>
        <v>0</v>
      </c>
      <c r="H726" s="7">
        <f>0+[1]táj.2!H726</f>
        <v>0</v>
      </c>
      <c r="I726" s="7">
        <f>3600+[1]táj.2!I726</f>
        <v>3600</v>
      </c>
      <c r="J726" s="7">
        <f>0+[1]táj.2!J726</f>
        <v>0</v>
      </c>
      <c r="K726" s="7">
        <f>0+[1]táj.2!K726</f>
        <v>0</v>
      </c>
      <c r="L726" s="7">
        <f>0+[1]táj.2!L726</f>
        <v>0</v>
      </c>
      <c r="M726" s="7">
        <f>0+[1]táj.2!M726</f>
        <v>0</v>
      </c>
      <c r="N726" s="7">
        <f>0+[1]táj.2!N726</f>
        <v>0</v>
      </c>
      <c r="O726" s="7">
        <f>0+[1]táj.2!O726</f>
        <v>0</v>
      </c>
      <c r="P726" s="7">
        <f>0+[1]táj.2!P726</f>
        <v>0</v>
      </c>
      <c r="Q726" s="7">
        <f>SUM(G726:P726)</f>
        <v>3600</v>
      </c>
    </row>
    <row r="727" spans="1:17" ht="15" customHeight="1" x14ac:dyDescent="0.2">
      <c r="A727" s="162"/>
      <c r="B727" s="162"/>
      <c r="C727" s="178"/>
      <c r="D727" s="247" t="s">
        <v>1336</v>
      </c>
      <c r="E727" s="7">
        <v>1</v>
      </c>
      <c r="F727" s="7">
        <v>196901</v>
      </c>
      <c r="G727" s="7">
        <f>0+[1]táj.2!G727</f>
        <v>0</v>
      </c>
      <c r="H727" s="7">
        <f>0+[1]táj.2!H727</f>
        <v>0</v>
      </c>
      <c r="I727" s="7">
        <f>400+[1]táj.2!I727</f>
        <v>400</v>
      </c>
      <c r="J727" s="7">
        <f>0+[1]táj.2!J727</f>
        <v>0</v>
      </c>
      <c r="K727" s="7">
        <f>0+[1]táj.2!K727</f>
        <v>0</v>
      </c>
      <c r="L727" s="7">
        <f>0+[1]táj.2!L727</f>
        <v>0</v>
      </c>
      <c r="M727" s="7">
        <f>0+[1]táj.2!M727</f>
        <v>0</v>
      </c>
      <c r="N727" s="7">
        <f>5039+[1]táj.2!N727</f>
        <v>5000</v>
      </c>
      <c r="O727" s="7">
        <f>0+[1]táj.2!O727</f>
        <v>0</v>
      </c>
      <c r="P727" s="7">
        <f>0+[1]táj.2!P727</f>
        <v>0</v>
      </c>
      <c r="Q727" s="7">
        <f>SUM(G727:P727)</f>
        <v>5400</v>
      </c>
    </row>
    <row r="728" spans="1:17" ht="15" customHeight="1" x14ac:dyDescent="0.2">
      <c r="A728" s="162"/>
      <c r="B728" s="162"/>
      <c r="C728" s="178"/>
      <c r="D728" s="247" t="s">
        <v>424</v>
      </c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 x14ac:dyDescent="0.2">
      <c r="A729" s="162"/>
      <c r="B729" s="162"/>
      <c r="C729" s="178"/>
      <c r="D729" s="247" t="s">
        <v>1337</v>
      </c>
      <c r="E729" s="7">
        <v>1</v>
      </c>
      <c r="F729" s="7">
        <v>191104</v>
      </c>
      <c r="G729" s="7">
        <f>0+[1]táj.2!G729</f>
        <v>0</v>
      </c>
      <c r="H729" s="7">
        <f>0+[1]táj.2!H729</f>
        <v>0</v>
      </c>
      <c r="I729" s="7">
        <f>4400+[1]táj.2!I729</f>
        <v>4400</v>
      </c>
      <c r="J729" s="7">
        <f>0+[1]táj.2!J729</f>
        <v>0</v>
      </c>
      <c r="K729" s="7">
        <f>0+[1]táj.2!K729</f>
        <v>0</v>
      </c>
      <c r="L729" s="7">
        <f>0+[1]táj.2!L729</f>
        <v>0</v>
      </c>
      <c r="M729" s="7">
        <f>0+[1]táj.2!M729</f>
        <v>0</v>
      </c>
      <c r="N729" s="7">
        <f>0+[1]táj.2!N729</f>
        <v>0</v>
      </c>
      <c r="O729" s="7">
        <f>0+[1]táj.2!O729</f>
        <v>0</v>
      </c>
      <c r="P729" s="7">
        <f>0+[1]táj.2!P729</f>
        <v>0</v>
      </c>
      <c r="Q729" s="7">
        <f>SUM(G729:P729)</f>
        <v>4400</v>
      </c>
    </row>
    <row r="730" spans="1:17" ht="14.1" customHeight="1" x14ac:dyDescent="0.2">
      <c r="A730" s="162"/>
      <c r="B730" s="162"/>
      <c r="C730" s="178"/>
      <c r="D730" s="343" t="s">
        <v>1338</v>
      </c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4.1" customHeight="1" x14ac:dyDescent="0.2">
      <c r="A731" s="162"/>
      <c r="B731" s="162"/>
      <c r="C731" s="178"/>
      <c r="D731" s="247" t="s">
        <v>1339</v>
      </c>
      <c r="E731" s="7">
        <v>2</v>
      </c>
      <c r="F731" s="7">
        <v>191109</v>
      </c>
      <c r="G731" s="7">
        <f>0+[1]táj.2!G731</f>
        <v>0</v>
      </c>
      <c r="H731" s="7">
        <f>0+[1]táj.2!H731</f>
        <v>0</v>
      </c>
      <c r="I731" s="7">
        <f>0+[1]táj.2!I731</f>
        <v>0</v>
      </c>
      <c r="J731" s="7">
        <f>0+[1]táj.2!J731</f>
        <v>0</v>
      </c>
      <c r="K731" s="7">
        <f>5000+[1]táj.2!K731</f>
        <v>5000</v>
      </c>
      <c r="L731" s="7">
        <f>0+[1]táj.2!L731</f>
        <v>0</v>
      </c>
      <c r="M731" s="7">
        <f>0+[1]táj.2!M731</f>
        <v>0</v>
      </c>
      <c r="N731" s="7">
        <f>0+[1]táj.2!N731</f>
        <v>0</v>
      </c>
      <c r="O731" s="7">
        <f>0+[1]táj.2!O731</f>
        <v>0</v>
      </c>
      <c r="P731" s="7">
        <f>0+[1]táj.2!P731</f>
        <v>0</v>
      </c>
      <c r="Q731" s="7">
        <f>SUM(G731:P731)</f>
        <v>5000</v>
      </c>
    </row>
    <row r="732" spans="1:17" ht="14.1" customHeight="1" x14ac:dyDescent="0.2">
      <c r="A732" s="162"/>
      <c r="B732" s="162"/>
      <c r="C732" s="178"/>
      <c r="D732" s="247" t="s">
        <v>1340</v>
      </c>
      <c r="E732" s="7">
        <v>2</v>
      </c>
      <c r="F732" s="7">
        <v>191159</v>
      </c>
      <c r="G732" s="7">
        <f>0+[1]táj.2!G732</f>
        <v>0</v>
      </c>
      <c r="H732" s="7">
        <f>0+[1]táj.2!H732</f>
        <v>0</v>
      </c>
      <c r="I732" s="7">
        <f>0+[1]táj.2!I732</f>
        <v>0</v>
      </c>
      <c r="J732" s="7">
        <f>0+[1]táj.2!J732</f>
        <v>0</v>
      </c>
      <c r="K732" s="7">
        <f>500+[1]táj.2!K732</f>
        <v>500</v>
      </c>
      <c r="L732" s="7">
        <f>0+[1]táj.2!L732</f>
        <v>0</v>
      </c>
      <c r="M732" s="7">
        <f>0+[1]táj.2!M732</f>
        <v>0</v>
      </c>
      <c r="N732" s="7">
        <f>0+[1]táj.2!N732</f>
        <v>0</v>
      </c>
      <c r="O732" s="7">
        <f>0+[1]táj.2!O732</f>
        <v>0</v>
      </c>
      <c r="P732" s="7">
        <f>0+[1]táj.2!P732</f>
        <v>0</v>
      </c>
      <c r="Q732" s="7">
        <f>SUM(G732:P732)</f>
        <v>500</v>
      </c>
    </row>
    <row r="733" spans="1:17" ht="14.1" customHeight="1" x14ac:dyDescent="0.2">
      <c r="A733" s="162"/>
      <c r="B733" s="162"/>
      <c r="C733" s="178"/>
      <c r="D733" s="247" t="s">
        <v>1341</v>
      </c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14.1" customHeight="1" x14ac:dyDescent="0.2">
      <c r="A734" s="162"/>
      <c r="B734" s="162"/>
      <c r="C734" s="178"/>
      <c r="D734" s="247" t="s">
        <v>1342</v>
      </c>
      <c r="E734" s="7">
        <v>2</v>
      </c>
      <c r="F734" s="7">
        <v>191401</v>
      </c>
      <c r="G734" s="7">
        <f>0+[1]táj.2!G734</f>
        <v>0</v>
      </c>
      <c r="H734" s="7">
        <f>0+[1]táj.2!H734</f>
        <v>0</v>
      </c>
      <c r="I734" s="7">
        <f>0+[1]táj.2!I734</f>
        <v>0</v>
      </c>
      <c r="J734" s="7">
        <f>0+[1]táj.2!J734</f>
        <v>0</v>
      </c>
      <c r="K734" s="7">
        <f>1500+[1]táj.2!K734</f>
        <v>1500</v>
      </c>
      <c r="L734" s="7">
        <f>0+[1]táj.2!L734</f>
        <v>0</v>
      </c>
      <c r="M734" s="7">
        <f>0+[1]táj.2!M734</f>
        <v>0</v>
      </c>
      <c r="N734" s="7">
        <f>0+[1]táj.2!N734</f>
        <v>0</v>
      </c>
      <c r="O734" s="7">
        <f>0+[1]táj.2!O734</f>
        <v>0</v>
      </c>
      <c r="P734" s="7">
        <f>0+[1]táj.2!P734</f>
        <v>0</v>
      </c>
      <c r="Q734" s="7">
        <f>SUM(G734:P734)</f>
        <v>1500</v>
      </c>
    </row>
    <row r="735" spans="1:17" ht="15" customHeight="1" x14ac:dyDescent="0.2">
      <c r="A735" s="162"/>
      <c r="B735" s="162"/>
      <c r="C735" s="178"/>
      <c r="D735" s="143" t="s">
        <v>416</v>
      </c>
      <c r="E735" s="196"/>
      <c r="F735" s="19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24" customHeight="1" x14ac:dyDescent="0.2">
      <c r="A736" s="162"/>
      <c r="B736" s="162"/>
      <c r="C736" s="178"/>
      <c r="D736" s="139" t="s">
        <v>1343</v>
      </c>
      <c r="E736" s="171">
        <v>1</v>
      </c>
      <c r="F736" s="7">
        <v>191905</v>
      </c>
      <c r="G736" s="7">
        <f>0+[1]táj.2!G736</f>
        <v>0</v>
      </c>
      <c r="H736" s="7">
        <f>0+[1]táj.2!H736</f>
        <v>0</v>
      </c>
      <c r="I736" s="7">
        <f>0+[1]táj.2!I736</f>
        <v>0</v>
      </c>
      <c r="J736" s="7">
        <f>0+[1]táj.2!J736</f>
        <v>0</v>
      </c>
      <c r="K736" s="7">
        <f>412534+[1]táj.2!K736</f>
        <v>438448</v>
      </c>
      <c r="L736" s="7">
        <f>0+[1]táj.2!L736</f>
        <v>0</v>
      </c>
      <c r="M736" s="7">
        <f>0+[1]táj.2!M736</f>
        <v>0</v>
      </c>
      <c r="N736" s="7">
        <f>0+[1]táj.2!N736</f>
        <v>0</v>
      </c>
      <c r="O736" s="7">
        <f>0+[1]táj.2!O736</f>
        <v>0</v>
      </c>
      <c r="P736" s="7">
        <f>0+[1]táj.2!P736</f>
        <v>0</v>
      </c>
      <c r="Q736" s="7">
        <f>SUM(G736:P736)</f>
        <v>438448</v>
      </c>
    </row>
    <row r="737" spans="1:17" ht="15" customHeight="1" x14ac:dyDescent="0.2">
      <c r="A737" s="162"/>
      <c r="B737" s="162"/>
      <c r="C737" s="178"/>
      <c r="D737" s="143" t="s">
        <v>416</v>
      </c>
      <c r="E737" s="196"/>
      <c r="F737" s="19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14.1" customHeight="1" x14ac:dyDescent="0.2">
      <c r="A738" s="162"/>
      <c r="B738" s="162"/>
      <c r="C738" s="178"/>
      <c r="D738" s="247" t="s">
        <v>1344</v>
      </c>
      <c r="E738" s="7">
        <v>1</v>
      </c>
      <c r="F738" s="7">
        <v>191121</v>
      </c>
      <c r="G738" s="7">
        <f>0+[1]táj.2!G738</f>
        <v>0</v>
      </c>
      <c r="H738" s="7">
        <f>0+[1]táj.2!H738</f>
        <v>0</v>
      </c>
      <c r="I738" s="7">
        <f>15912+[1]táj.2!I738</f>
        <v>15912</v>
      </c>
      <c r="J738" s="7">
        <f>0+[1]táj.2!J738</f>
        <v>0</v>
      </c>
      <c r="K738" s="7">
        <f>0+[1]táj.2!K738</f>
        <v>0</v>
      </c>
      <c r="L738" s="7">
        <f>0+[1]táj.2!L738</f>
        <v>0</v>
      </c>
      <c r="M738" s="7">
        <f>0+[1]táj.2!M738</f>
        <v>0</v>
      </c>
      <c r="N738" s="7">
        <f>0+[1]táj.2!N738</f>
        <v>0</v>
      </c>
      <c r="O738" s="7">
        <f>0+[1]táj.2!O738</f>
        <v>0</v>
      </c>
      <c r="P738" s="7">
        <f>0+[1]táj.2!P738</f>
        <v>0</v>
      </c>
      <c r="Q738" s="7">
        <f>SUM(G738:P738)</f>
        <v>15912</v>
      </c>
    </row>
    <row r="739" spans="1:17" ht="24.75" customHeight="1" x14ac:dyDescent="0.2">
      <c r="A739" s="162"/>
      <c r="B739" s="162"/>
      <c r="C739" s="178"/>
      <c r="D739" s="141" t="s">
        <v>522</v>
      </c>
      <c r="E739" s="196"/>
      <c r="F739" s="19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30.75" customHeight="1" x14ac:dyDescent="0.2">
      <c r="A740" s="162"/>
      <c r="B740" s="162"/>
      <c r="C740" s="178"/>
      <c r="D740" s="141" t="s">
        <v>1345</v>
      </c>
      <c r="E740" s="196">
        <v>1</v>
      </c>
      <c r="F740" s="25">
        <v>191152</v>
      </c>
      <c r="G740" s="7">
        <f>0+[1]táj.2!G740</f>
        <v>0</v>
      </c>
      <c r="H740" s="7">
        <f>0+[1]táj.2!H740</f>
        <v>0</v>
      </c>
      <c r="I740" s="7">
        <f>25467+[1]táj.2!I740</f>
        <v>25467</v>
      </c>
      <c r="J740" s="7">
        <f>0+[1]táj.2!J740</f>
        <v>0</v>
      </c>
      <c r="K740" s="7">
        <f>0+[1]táj.2!K740</f>
        <v>0</v>
      </c>
      <c r="L740" s="7">
        <f>0+[1]táj.2!L740</f>
        <v>0</v>
      </c>
      <c r="M740" s="7">
        <f>0+[1]táj.2!M740</f>
        <v>0</v>
      </c>
      <c r="N740" s="7">
        <f>0+[1]táj.2!N740</f>
        <v>0</v>
      </c>
      <c r="O740" s="7">
        <f>104052+[1]táj.2!O740</f>
        <v>104052</v>
      </c>
      <c r="P740" s="7">
        <f>0+[1]táj.2!P740</f>
        <v>0</v>
      </c>
      <c r="Q740" s="7">
        <f>SUM(G740:P740)</f>
        <v>129519</v>
      </c>
    </row>
    <row r="741" spans="1:17" ht="27.75" customHeight="1" x14ac:dyDescent="0.2">
      <c r="A741" s="162"/>
      <c r="B741" s="162"/>
      <c r="C741" s="178"/>
      <c r="D741" s="265" t="s">
        <v>1346</v>
      </c>
      <c r="E741" s="196">
        <v>2</v>
      </c>
      <c r="F741" s="25">
        <v>196919</v>
      </c>
      <c r="G741" s="7">
        <f>0+[1]táj.2!G741</f>
        <v>0</v>
      </c>
      <c r="H741" s="7">
        <f>0+[1]táj.2!H741</f>
        <v>0</v>
      </c>
      <c r="I741" s="7">
        <f>0+[1]táj.2!I741</f>
        <v>12693</v>
      </c>
      <c r="J741" s="7">
        <f>0+[1]táj.2!J741</f>
        <v>0</v>
      </c>
      <c r="K741" s="7">
        <f>0+[1]táj.2!K741</f>
        <v>0</v>
      </c>
      <c r="L741" s="7">
        <f>0+[1]táj.2!L741</f>
        <v>0</v>
      </c>
      <c r="M741" s="7">
        <f>0+[1]táj.2!M741</f>
        <v>0</v>
      </c>
      <c r="N741" s="7">
        <f>0+[1]táj.2!N741</f>
        <v>0</v>
      </c>
      <c r="O741" s="7">
        <f>0+[1]táj.2!O741</f>
        <v>0</v>
      </c>
      <c r="P741" s="7">
        <f>12000000+[1]táj.2!P741</f>
        <v>11987307</v>
      </c>
      <c r="Q741" s="7">
        <f>SUM(G741:P741)</f>
        <v>12000000</v>
      </c>
    </row>
    <row r="742" spans="1:17" ht="15" customHeight="1" x14ac:dyDescent="0.2">
      <c r="A742" s="162"/>
      <c r="B742" s="162"/>
      <c r="C742" s="178"/>
      <c r="D742" s="247" t="s">
        <v>1347</v>
      </c>
      <c r="E742" s="7"/>
      <c r="F742" s="344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4.25" customHeight="1" x14ac:dyDescent="0.2">
      <c r="A743" s="162"/>
      <c r="B743" s="162"/>
      <c r="C743" s="178"/>
      <c r="D743" s="247" t="s">
        <v>1348</v>
      </c>
      <c r="E743" s="7">
        <v>2</v>
      </c>
      <c r="F743" s="345" t="s">
        <v>1349</v>
      </c>
      <c r="G743" s="7">
        <f>0+[1]táj.2!G743</f>
        <v>0</v>
      </c>
      <c r="H743" s="7">
        <f>0+[1]táj.2!H743</f>
        <v>0</v>
      </c>
      <c r="I743" s="7">
        <f>0+[1]táj.2!I743</f>
        <v>0</v>
      </c>
      <c r="J743" s="7">
        <f>0+[1]táj.2!J743</f>
        <v>0</v>
      </c>
      <c r="K743" s="7">
        <f>4145+[1]táj.2!K743</f>
        <v>2100</v>
      </c>
      <c r="L743" s="7">
        <f>0+[1]táj.2!L743</f>
        <v>0</v>
      </c>
      <c r="M743" s="7">
        <f>0+[1]táj.2!M743</f>
        <v>0</v>
      </c>
      <c r="N743" s="7">
        <f>0+[1]táj.2!N743</f>
        <v>0</v>
      </c>
      <c r="O743" s="7">
        <f>0+[1]táj.2!O743</f>
        <v>0</v>
      </c>
      <c r="P743" s="7">
        <f>0+[1]táj.2!P743</f>
        <v>0</v>
      </c>
      <c r="Q743" s="7">
        <f>SUM(G743:P743)</f>
        <v>2100</v>
      </c>
    </row>
    <row r="744" spans="1:17" ht="14.1" customHeight="1" x14ac:dyDescent="0.2">
      <c r="A744" s="162"/>
      <c r="B744" s="162"/>
      <c r="C744" s="178"/>
      <c r="D744" s="258" t="s">
        <v>427</v>
      </c>
      <c r="E744" s="171"/>
      <c r="F744" s="171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4.1" customHeight="1" x14ac:dyDescent="0.2">
      <c r="A745" s="162"/>
      <c r="B745" s="162"/>
      <c r="C745" s="178"/>
      <c r="D745" s="247" t="s">
        <v>1350</v>
      </c>
      <c r="E745" s="7">
        <v>2</v>
      </c>
      <c r="F745" s="7">
        <v>191801</v>
      </c>
      <c r="G745" s="7">
        <f>0+[1]táj.2!G745</f>
        <v>0</v>
      </c>
      <c r="H745" s="7">
        <f>0+[1]táj.2!H745</f>
        <v>0</v>
      </c>
      <c r="I745" s="7">
        <f>0+[1]táj.2!I745</f>
        <v>0</v>
      </c>
      <c r="J745" s="7">
        <f>0+[1]táj.2!J745</f>
        <v>0</v>
      </c>
      <c r="K745" s="7">
        <f>40000+[1]táj.2!K745</f>
        <v>40000</v>
      </c>
      <c r="L745" s="7">
        <f>0+[1]táj.2!L745</f>
        <v>0</v>
      </c>
      <c r="M745" s="7">
        <f>0+[1]táj.2!M745</f>
        <v>0</v>
      </c>
      <c r="N745" s="7">
        <f>0+[1]táj.2!N745</f>
        <v>0</v>
      </c>
      <c r="O745" s="7">
        <f>0+[1]táj.2!O745</f>
        <v>0</v>
      </c>
      <c r="P745" s="7">
        <f>0+[1]táj.2!P745</f>
        <v>0</v>
      </c>
      <c r="Q745" s="7">
        <f>SUM(G745:P745)</f>
        <v>40000</v>
      </c>
    </row>
    <row r="746" spans="1:17" ht="14.1" customHeight="1" x14ac:dyDescent="0.2">
      <c r="A746" s="162"/>
      <c r="B746" s="162"/>
      <c r="C746" s="178"/>
      <c r="D746" s="247" t="s">
        <v>1511</v>
      </c>
      <c r="E746" s="187"/>
      <c r="F746" s="18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24.75" customHeight="1" x14ac:dyDescent="0.2">
      <c r="A747" s="162"/>
      <c r="B747" s="162"/>
      <c r="C747" s="178"/>
      <c r="D747" s="141" t="s">
        <v>1512</v>
      </c>
      <c r="E747" s="187">
        <v>1</v>
      </c>
      <c r="F747" s="187">
        <v>191909</v>
      </c>
      <c r="G747" s="7">
        <f>0+[1]táj.2!G747</f>
        <v>0</v>
      </c>
      <c r="H747" s="7">
        <f>0+[1]táj.2!H747</f>
        <v>0</v>
      </c>
      <c r="I747" s="7">
        <f>0+[1]táj.2!I747</f>
        <v>0</v>
      </c>
      <c r="J747" s="7">
        <f>0+[1]táj.2!J747</f>
        <v>0</v>
      </c>
      <c r="K747" s="7">
        <f>0+[1]táj.2!K747</f>
        <v>7188</v>
      </c>
      <c r="L747" s="7">
        <f>0+[1]táj.2!L747</f>
        <v>0</v>
      </c>
      <c r="M747" s="7">
        <f>0+[1]táj.2!M747</f>
        <v>0</v>
      </c>
      <c r="N747" s="7">
        <f>0+[1]táj.2!N747</f>
        <v>0</v>
      </c>
      <c r="O747" s="7">
        <f>0+[1]táj.2!O747</f>
        <v>0</v>
      </c>
      <c r="P747" s="7">
        <f>0+[1]táj.2!P747</f>
        <v>0</v>
      </c>
      <c r="Q747" s="7">
        <f>SUM(G747:P747)</f>
        <v>7188</v>
      </c>
    </row>
    <row r="748" spans="1:17" ht="14.1" customHeight="1" x14ac:dyDescent="0.2">
      <c r="A748" s="182"/>
      <c r="B748" s="182"/>
      <c r="C748" s="183"/>
      <c r="D748" s="147" t="s">
        <v>1351</v>
      </c>
      <c r="E748" s="185"/>
      <c r="F748" s="185"/>
      <c r="G748" s="52">
        <f>SUM(G717:G747)</f>
        <v>0</v>
      </c>
      <c r="H748" s="52">
        <f t="shared" ref="H748:Q748" si="43">SUM(H717:H747)</f>
        <v>0</v>
      </c>
      <c r="I748" s="52">
        <f t="shared" si="43"/>
        <v>372357</v>
      </c>
      <c r="J748" s="52">
        <f t="shared" si="43"/>
        <v>0</v>
      </c>
      <c r="K748" s="52">
        <f t="shared" si="43"/>
        <v>500736</v>
      </c>
      <c r="L748" s="52">
        <f t="shared" si="43"/>
        <v>0</v>
      </c>
      <c r="M748" s="52">
        <f t="shared" si="43"/>
        <v>0</v>
      </c>
      <c r="N748" s="52">
        <f t="shared" si="43"/>
        <v>5000</v>
      </c>
      <c r="O748" s="52">
        <f t="shared" si="43"/>
        <v>104052</v>
      </c>
      <c r="P748" s="52">
        <f t="shared" si="43"/>
        <v>12088612</v>
      </c>
      <c r="Q748" s="52">
        <f t="shared" si="43"/>
        <v>13070757</v>
      </c>
    </row>
    <row r="749" spans="1:17" ht="14.1" customHeight="1" x14ac:dyDescent="0.2">
      <c r="A749" s="135"/>
      <c r="B749" s="135"/>
      <c r="C749" s="220"/>
      <c r="D749" s="251" t="s">
        <v>1324</v>
      </c>
      <c r="E749" s="9"/>
      <c r="F749" s="9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ht="25.5" customHeight="1" x14ac:dyDescent="0.2">
      <c r="A750" s="135"/>
      <c r="B750" s="135"/>
      <c r="C750" s="220" t="s">
        <v>211</v>
      </c>
      <c r="D750" s="346" t="s">
        <v>1352</v>
      </c>
      <c r="E750" s="315"/>
      <c r="F750" s="347">
        <v>192909</v>
      </c>
      <c r="G750" s="7">
        <f>0+[1]táj.2!G750</f>
        <v>0</v>
      </c>
      <c r="H750" s="7">
        <f>0+[1]táj.2!H750</f>
        <v>0</v>
      </c>
      <c r="I750" s="7">
        <f>0+[1]táj.2!I750</f>
        <v>0</v>
      </c>
      <c r="J750" s="7">
        <f>0+[1]táj.2!J750</f>
        <v>0</v>
      </c>
      <c r="K750" s="7">
        <f>0+[1]táj.2!K750</f>
        <v>0</v>
      </c>
      <c r="L750" s="7">
        <f>0+[1]táj.2!L750</f>
        <v>0</v>
      </c>
      <c r="M750" s="7">
        <f>0+[1]táj.2!M750</f>
        <v>0</v>
      </c>
      <c r="N750" s="7">
        <f>500+[1]táj.2!N750</f>
        <v>500</v>
      </c>
      <c r="O750" s="7">
        <f>0+[1]táj.2!O750</f>
        <v>0</v>
      </c>
      <c r="P750" s="7">
        <f>0+[1]táj.2!P750</f>
        <v>0</v>
      </c>
      <c r="Q750" s="7">
        <f>SUM(N750:P750)</f>
        <v>500</v>
      </c>
    </row>
    <row r="751" spans="1:17" ht="14.1" customHeight="1" x14ac:dyDescent="0.2">
      <c r="A751" s="182">
        <v>1</v>
      </c>
      <c r="B751" s="182">
        <v>20</v>
      </c>
      <c r="C751" s="183"/>
      <c r="D751" s="147" t="s">
        <v>544</v>
      </c>
      <c r="E751" s="185"/>
      <c r="F751" s="185"/>
      <c r="G751" s="52">
        <f>SUM(G748:G750)</f>
        <v>0</v>
      </c>
      <c r="H751" s="52">
        <f t="shared" ref="H751:Q751" si="44">SUM(H748:H750)</f>
        <v>0</v>
      </c>
      <c r="I751" s="52">
        <f t="shared" si="44"/>
        <v>372357</v>
      </c>
      <c r="J751" s="52">
        <f t="shared" si="44"/>
        <v>0</v>
      </c>
      <c r="K751" s="52">
        <f t="shared" si="44"/>
        <v>500736</v>
      </c>
      <c r="L751" s="52">
        <f t="shared" si="44"/>
        <v>0</v>
      </c>
      <c r="M751" s="52">
        <f t="shared" si="44"/>
        <v>0</v>
      </c>
      <c r="N751" s="52">
        <f t="shared" si="44"/>
        <v>5500</v>
      </c>
      <c r="O751" s="52">
        <f t="shared" si="44"/>
        <v>104052</v>
      </c>
      <c r="P751" s="52">
        <f t="shared" si="44"/>
        <v>12088612</v>
      </c>
      <c r="Q751" s="52">
        <f t="shared" si="44"/>
        <v>13071257</v>
      </c>
    </row>
    <row r="752" spans="1:17" ht="14.1" customHeight="1" x14ac:dyDescent="0.2">
      <c r="A752" s="135"/>
      <c r="B752" s="135"/>
      <c r="C752" s="220"/>
      <c r="D752" s="241" t="s">
        <v>132</v>
      </c>
      <c r="E752" s="9"/>
      <c r="F752" s="9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ht="21.75" customHeight="1" x14ac:dyDescent="0.2">
      <c r="A753" s="135"/>
      <c r="B753" s="135"/>
      <c r="C753" s="220"/>
      <c r="D753" s="348" t="s">
        <v>416</v>
      </c>
      <c r="E753" s="9"/>
      <c r="F753" s="9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ht="14.1" customHeight="1" x14ac:dyDescent="0.2">
      <c r="A754" s="182"/>
      <c r="B754" s="182"/>
      <c r="C754" s="183"/>
      <c r="D754" s="147" t="s">
        <v>1353</v>
      </c>
      <c r="E754" s="185"/>
      <c r="F754" s="185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</row>
    <row r="755" spans="1:17" ht="14.1" customHeight="1" x14ac:dyDescent="0.2">
      <c r="A755" s="349">
        <v>1</v>
      </c>
      <c r="B755" s="349" t="s">
        <v>1354</v>
      </c>
      <c r="C755" s="350"/>
      <c r="D755" s="351" t="s">
        <v>1355</v>
      </c>
      <c r="E755" s="352"/>
      <c r="F755" s="352"/>
      <c r="G755" s="353"/>
      <c r="H755" s="3"/>
      <c r="I755" s="3"/>
      <c r="J755" s="3"/>
      <c r="K755" s="3"/>
      <c r="L755" s="3"/>
      <c r="M755" s="7"/>
      <c r="N755" s="7"/>
      <c r="O755" s="353"/>
      <c r="P755" s="353"/>
      <c r="Q755" s="353"/>
    </row>
    <row r="756" spans="1:17" ht="14.1" customHeight="1" x14ac:dyDescent="0.2">
      <c r="A756" s="349"/>
      <c r="B756" s="349"/>
      <c r="C756" s="350"/>
      <c r="D756" s="143" t="s">
        <v>416</v>
      </c>
      <c r="E756" s="190"/>
      <c r="F756" s="190"/>
      <c r="G756" s="353"/>
      <c r="H756" s="3"/>
      <c r="I756" s="3"/>
      <c r="J756" s="3"/>
      <c r="K756" s="3"/>
      <c r="L756" s="3"/>
      <c r="M756" s="7"/>
      <c r="N756" s="7"/>
      <c r="O756" s="353"/>
      <c r="P756" s="353"/>
      <c r="Q756" s="353"/>
    </row>
    <row r="757" spans="1:17" ht="14.1" customHeight="1" x14ac:dyDescent="0.2">
      <c r="A757" s="349"/>
      <c r="B757" s="349"/>
      <c r="C757" s="350"/>
      <c r="D757" s="343" t="s">
        <v>1356</v>
      </c>
      <c r="E757" s="336">
        <v>2</v>
      </c>
      <c r="F757" s="336">
        <v>221901</v>
      </c>
      <c r="G757" s="354">
        <f>11000+[1]táj.2!G757</f>
        <v>11000</v>
      </c>
      <c r="H757" s="354">
        <f>5500+[1]táj.2!H757</f>
        <v>5500</v>
      </c>
      <c r="I757" s="354">
        <f>32176+[1]táj.2!I757</f>
        <v>31653</v>
      </c>
      <c r="J757" s="354">
        <f>0+[1]táj.2!J757</f>
        <v>0</v>
      </c>
      <c r="K757" s="354">
        <f>1000+[1]táj.2!K757</f>
        <v>1000</v>
      </c>
      <c r="L757" s="354">
        <f>0+[1]táj.2!L757</f>
        <v>0</v>
      </c>
      <c r="M757" s="354">
        <f>0+[1]táj.2!M757</f>
        <v>0</v>
      </c>
      <c r="N757" s="354">
        <f>0+[1]táj.2!N757</f>
        <v>0</v>
      </c>
      <c r="O757" s="354">
        <f>0+[1]táj.2!O757</f>
        <v>0</v>
      </c>
      <c r="P757" s="354">
        <f>0+[1]táj.2!P757</f>
        <v>0</v>
      </c>
      <c r="Q757" s="336">
        <f t="shared" ref="Q757:Q767" si="45">SUM(G757:P757)</f>
        <v>49153</v>
      </c>
    </row>
    <row r="758" spans="1:17" ht="14.1" customHeight="1" x14ac:dyDescent="0.2">
      <c r="A758" s="349"/>
      <c r="B758" s="349"/>
      <c r="C758" s="350"/>
      <c r="D758" s="258" t="s">
        <v>1357</v>
      </c>
      <c r="E758" s="10">
        <v>1</v>
      </c>
      <c r="F758" s="7">
        <v>221912</v>
      </c>
      <c r="G758" s="354">
        <f>100+[1]táj.2!G758</f>
        <v>100</v>
      </c>
      <c r="H758" s="354">
        <f>50+[1]táj.2!H758</f>
        <v>50</v>
      </c>
      <c r="I758" s="354">
        <f>3920+[1]táj.2!I758</f>
        <v>3920</v>
      </c>
      <c r="J758" s="354">
        <f>0+[1]táj.2!J758</f>
        <v>0</v>
      </c>
      <c r="K758" s="354">
        <f>3250+[1]táj.2!K758</f>
        <v>3250</v>
      </c>
      <c r="L758" s="354">
        <f>0+[1]táj.2!L758</f>
        <v>0</v>
      </c>
      <c r="M758" s="354">
        <f>0+[1]táj.2!M758</f>
        <v>0</v>
      </c>
      <c r="N758" s="354">
        <f>0+[1]táj.2!N758</f>
        <v>0</v>
      </c>
      <c r="O758" s="354">
        <f>0+[1]táj.2!O758</f>
        <v>0</v>
      </c>
      <c r="P758" s="354">
        <f>0+[1]táj.2!P758</f>
        <v>0</v>
      </c>
      <c r="Q758" s="336">
        <f t="shared" si="45"/>
        <v>7320</v>
      </c>
    </row>
    <row r="759" spans="1:17" ht="14.1" customHeight="1" x14ac:dyDescent="0.2">
      <c r="A759" s="349"/>
      <c r="B759" s="349"/>
      <c r="C759" s="350"/>
      <c r="D759" s="141" t="s">
        <v>61</v>
      </c>
      <c r="E759" s="10">
        <v>2</v>
      </c>
      <c r="F759" s="7">
        <v>221956</v>
      </c>
      <c r="G759" s="354">
        <f>0+[1]táj.2!G759</f>
        <v>0</v>
      </c>
      <c r="H759" s="354">
        <f>0+[1]táj.2!H759</f>
        <v>0</v>
      </c>
      <c r="I759" s="354">
        <f>7000+[1]táj.2!I759</f>
        <v>7000</v>
      </c>
      <c r="J759" s="354">
        <f>0+[1]táj.2!J759</f>
        <v>0</v>
      </c>
      <c r="K759" s="354">
        <f>0+[1]táj.2!K759</f>
        <v>0</v>
      </c>
      <c r="L759" s="354">
        <f>0+[1]táj.2!L759</f>
        <v>0</v>
      </c>
      <c r="M759" s="354">
        <f>0+[1]táj.2!M759</f>
        <v>0</v>
      </c>
      <c r="N759" s="354">
        <f>0+[1]táj.2!N759</f>
        <v>0</v>
      </c>
      <c r="O759" s="354">
        <f>0+[1]táj.2!O759</f>
        <v>0</v>
      </c>
      <c r="P759" s="354">
        <f>0+[1]táj.2!P759</f>
        <v>0</v>
      </c>
      <c r="Q759" s="336">
        <f t="shared" si="45"/>
        <v>7000</v>
      </c>
    </row>
    <row r="760" spans="1:17" ht="14.1" customHeight="1" x14ac:dyDescent="0.2">
      <c r="A760" s="349"/>
      <c r="B760" s="349"/>
      <c r="C760" s="350"/>
      <c r="D760" s="258" t="s">
        <v>1358</v>
      </c>
      <c r="E760" s="10">
        <v>2</v>
      </c>
      <c r="F760" s="7">
        <v>221916</v>
      </c>
      <c r="G760" s="354">
        <f>0+[1]táj.2!G760</f>
        <v>0</v>
      </c>
      <c r="H760" s="354">
        <f>0+[1]táj.2!H760</f>
        <v>0</v>
      </c>
      <c r="I760" s="354">
        <f>0+[1]táj.2!I760</f>
        <v>0</v>
      </c>
      <c r="J760" s="354">
        <f>0+[1]táj.2!J760</f>
        <v>0</v>
      </c>
      <c r="K760" s="354">
        <f>35000+[1]táj.2!K760</f>
        <v>35000</v>
      </c>
      <c r="L760" s="354">
        <f>0+[1]táj.2!L760</f>
        <v>0</v>
      </c>
      <c r="M760" s="354">
        <f>0+[1]táj.2!M760</f>
        <v>0</v>
      </c>
      <c r="N760" s="354">
        <f>0+[1]táj.2!N760</f>
        <v>0</v>
      </c>
      <c r="O760" s="354">
        <f>0+[1]táj.2!O760</f>
        <v>0</v>
      </c>
      <c r="P760" s="354">
        <f>0+[1]táj.2!P760</f>
        <v>0</v>
      </c>
      <c r="Q760" s="336">
        <f t="shared" si="45"/>
        <v>35000</v>
      </c>
    </row>
    <row r="761" spans="1:17" ht="14.1" customHeight="1" x14ac:dyDescent="0.2">
      <c r="A761" s="349"/>
      <c r="B761" s="349"/>
      <c r="C761" s="350"/>
      <c r="D761" s="247" t="s">
        <v>1359</v>
      </c>
      <c r="E761" s="10">
        <v>2</v>
      </c>
      <c r="F761" s="7">
        <v>221904</v>
      </c>
      <c r="G761" s="354">
        <f>0+[1]táj.2!G761</f>
        <v>0</v>
      </c>
      <c r="H761" s="354">
        <f>0+[1]táj.2!H761</f>
        <v>0</v>
      </c>
      <c r="I761" s="354">
        <f>2000+[1]táj.2!I761</f>
        <v>2000</v>
      </c>
      <c r="J761" s="354">
        <f>0+[1]táj.2!J761</f>
        <v>0</v>
      </c>
      <c r="K761" s="354">
        <f>0+[1]táj.2!K761</f>
        <v>0</v>
      </c>
      <c r="L761" s="354">
        <f>0+[1]táj.2!L761</f>
        <v>0</v>
      </c>
      <c r="M761" s="354">
        <f>0+[1]táj.2!M761</f>
        <v>0</v>
      </c>
      <c r="N761" s="354">
        <f>0+[1]táj.2!N761</f>
        <v>0</v>
      </c>
      <c r="O761" s="354">
        <f>0+[1]táj.2!O761</f>
        <v>0</v>
      </c>
      <c r="P761" s="354">
        <f>0+[1]táj.2!P761</f>
        <v>0</v>
      </c>
      <c r="Q761" s="336">
        <f t="shared" si="45"/>
        <v>2000</v>
      </c>
    </row>
    <row r="762" spans="1:17" ht="14.1" customHeight="1" x14ac:dyDescent="0.2">
      <c r="A762" s="349"/>
      <c r="B762" s="349"/>
      <c r="C762" s="350"/>
      <c r="D762" s="247" t="s">
        <v>1360</v>
      </c>
      <c r="E762" s="7">
        <v>2</v>
      </c>
      <c r="F762" s="7">
        <v>221922</v>
      </c>
      <c r="G762" s="354">
        <f>0+[1]táj.2!G762</f>
        <v>0</v>
      </c>
      <c r="H762" s="354">
        <f>0+[1]táj.2!H762</f>
        <v>0</v>
      </c>
      <c r="I762" s="354">
        <f>7713+[1]táj.2!I762</f>
        <v>7713</v>
      </c>
      <c r="J762" s="354">
        <f>0+[1]táj.2!J762</f>
        <v>0</v>
      </c>
      <c r="K762" s="354">
        <f>0+[1]táj.2!K762</f>
        <v>0</v>
      </c>
      <c r="L762" s="354">
        <f>0+[1]táj.2!L762</f>
        <v>0</v>
      </c>
      <c r="M762" s="354">
        <f>0+[1]táj.2!M762</f>
        <v>0</v>
      </c>
      <c r="N762" s="354">
        <f>0+[1]táj.2!N762</f>
        <v>0</v>
      </c>
      <c r="O762" s="354">
        <f>0+[1]táj.2!O762</f>
        <v>0</v>
      </c>
      <c r="P762" s="354">
        <f>0+[1]táj.2!P762</f>
        <v>0</v>
      </c>
      <c r="Q762" s="336">
        <f t="shared" si="45"/>
        <v>7713</v>
      </c>
    </row>
    <row r="763" spans="1:17" ht="14.1" customHeight="1" x14ac:dyDescent="0.2">
      <c r="A763" s="349"/>
      <c r="B763" s="349"/>
      <c r="C763" s="350"/>
      <c r="D763" s="247" t="s">
        <v>1361</v>
      </c>
      <c r="E763" s="171">
        <v>2</v>
      </c>
      <c r="F763" s="7">
        <v>191139</v>
      </c>
      <c r="G763" s="354">
        <f>0+[1]táj.2!G763</f>
        <v>0</v>
      </c>
      <c r="H763" s="354">
        <f>0+[1]táj.2!H763</f>
        <v>0</v>
      </c>
      <c r="I763" s="354">
        <f>3500+[1]táj.2!I763</f>
        <v>0</v>
      </c>
      <c r="J763" s="354">
        <f>0+[1]táj.2!J763</f>
        <v>0</v>
      </c>
      <c r="K763" s="354">
        <f>0+[1]táj.2!K763</f>
        <v>0</v>
      </c>
      <c r="L763" s="354">
        <f>0+[1]táj.2!L763</f>
        <v>0</v>
      </c>
      <c r="M763" s="354">
        <f>0+[1]táj.2!M763</f>
        <v>0</v>
      </c>
      <c r="N763" s="354">
        <f>0+[1]táj.2!N763</f>
        <v>0</v>
      </c>
      <c r="O763" s="354">
        <f>0+[1]táj.2!O763</f>
        <v>0</v>
      </c>
      <c r="P763" s="354">
        <f>0+[1]táj.2!P763</f>
        <v>0</v>
      </c>
      <c r="Q763" s="336">
        <f t="shared" si="45"/>
        <v>0</v>
      </c>
    </row>
    <row r="764" spans="1:17" ht="14.1" customHeight="1" x14ac:dyDescent="0.2">
      <c r="A764" s="349"/>
      <c r="B764" s="349"/>
      <c r="C764" s="350"/>
      <c r="D764" s="247" t="s">
        <v>1362</v>
      </c>
      <c r="E764" s="171">
        <v>2</v>
      </c>
      <c r="F764" s="7">
        <v>221939</v>
      </c>
      <c r="G764" s="354">
        <f>0+[1]táj.2!G764</f>
        <v>0</v>
      </c>
      <c r="H764" s="354">
        <f>0+[1]táj.2!H764</f>
        <v>0</v>
      </c>
      <c r="I764" s="354">
        <f>700+[1]táj.2!I764</f>
        <v>700</v>
      </c>
      <c r="J764" s="354">
        <f>0+[1]táj.2!J764</f>
        <v>0</v>
      </c>
      <c r="K764" s="354">
        <f>1300+[1]táj.2!K764</f>
        <v>900</v>
      </c>
      <c r="L764" s="354">
        <f>0+[1]táj.2!L764</f>
        <v>0</v>
      </c>
      <c r="M764" s="354">
        <f>0+[1]táj.2!M764</f>
        <v>0</v>
      </c>
      <c r="N764" s="354">
        <f>0+[1]táj.2!N764</f>
        <v>0</v>
      </c>
      <c r="O764" s="354">
        <f>0+[1]táj.2!O764</f>
        <v>0</v>
      </c>
      <c r="P764" s="354">
        <f>0+[1]táj.2!P764</f>
        <v>0</v>
      </c>
      <c r="Q764" s="336">
        <f t="shared" si="45"/>
        <v>1600</v>
      </c>
    </row>
    <row r="765" spans="1:17" ht="14.1" customHeight="1" x14ac:dyDescent="0.2">
      <c r="A765" s="349"/>
      <c r="B765" s="349"/>
      <c r="C765" s="350"/>
      <c r="D765" s="247" t="s">
        <v>1363</v>
      </c>
      <c r="E765" s="171">
        <v>2</v>
      </c>
      <c r="F765" s="7">
        <v>221927</v>
      </c>
      <c r="G765" s="354">
        <f>0+[1]táj.2!G765</f>
        <v>0</v>
      </c>
      <c r="H765" s="354">
        <f>0+[1]táj.2!H765</f>
        <v>0</v>
      </c>
      <c r="I765" s="354">
        <f>0+[1]táj.2!I765</f>
        <v>0</v>
      </c>
      <c r="J765" s="354">
        <f>0+[1]táj.2!J765</f>
        <v>0</v>
      </c>
      <c r="K765" s="354">
        <f>2800+[1]táj.2!K765</f>
        <v>3010</v>
      </c>
      <c r="L765" s="354">
        <f>0+[1]táj.2!L765</f>
        <v>0</v>
      </c>
      <c r="M765" s="354">
        <f>0+[1]táj.2!M765</f>
        <v>0</v>
      </c>
      <c r="N765" s="354">
        <f>0+[1]táj.2!N765</f>
        <v>0</v>
      </c>
      <c r="O765" s="354">
        <f>0+[1]táj.2!O765</f>
        <v>0</v>
      </c>
      <c r="P765" s="354">
        <f>0+[1]táj.2!P765</f>
        <v>0</v>
      </c>
      <c r="Q765" s="336">
        <f t="shared" si="45"/>
        <v>3010</v>
      </c>
    </row>
    <row r="766" spans="1:17" ht="26.25" customHeight="1" x14ac:dyDescent="0.2">
      <c r="A766" s="349"/>
      <c r="B766" s="349"/>
      <c r="C766" s="350"/>
      <c r="D766" s="322" t="s">
        <v>1364</v>
      </c>
      <c r="E766" s="171">
        <v>2</v>
      </c>
      <c r="F766" s="7">
        <v>221935</v>
      </c>
      <c r="G766" s="354">
        <f>0+[1]táj.2!G766</f>
        <v>0</v>
      </c>
      <c r="H766" s="354">
        <f>0+[1]táj.2!H766</f>
        <v>0</v>
      </c>
      <c r="I766" s="354">
        <f>0+[1]táj.2!I766</f>
        <v>0</v>
      </c>
      <c r="J766" s="354">
        <f>0+[1]táj.2!J766</f>
        <v>0</v>
      </c>
      <c r="K766" s="354">
        <f>32900+[1]táj.2!K766</f>
        <v>32900</v>
      </c>
      <c r="L766" s="354">
        <f>0+[1]táj.2!L766</f>
        <v>0</v>
      </c>
      <c r="M766" s="354">
        <f>0+[1]táj.2!M766</f>
        <v>0</v>
      </c>
      <c r="N766" s="354">
        <f>0+[1]táj.2!N766</f>
        <v>0</v>
      </c>
      <c r="O766" s="354">
        <f>0+[1]táj.2!O766</f>
        <v>0</v>
      </c>
      <c r="P766" s="354">
        <f>0+[1]táj.2!P766</f>
        <v>0</v>
      </c>
      <c r="Q766" s="336">
        <f t="shared" si="45"/>
        <v>32900</v>
      </c>
    </row>
    <row r="767" spans="1:17" ht="14.1" customHeight="1" x14ac:dyDescent="0.2">
      <c r="A767" s="349"/>
      <c r="B767" s="349"/>
      <c r="C767" s="350"/>
      <c r="D767" s="247" t="s">
        <v>1365</v>
      </c>
      <c r="E767" s="7">
        <v>2</v>
      </c>
      <c r="F767" s="7">
        <v>191110</v>
      </c>
      <c r="G767" s="354">
        <f>6500+[1]táj.2!G767</f>
        <v>5500</v>
      </c>
      <c r="H767" s="354">
        <f>5000+[1]táj.2!H767</f>
        <v>4000</v>
      </c>
      <c r="I767" s="354">
        <f>5111+[1]táj.2!I767</f>
        <v>5111</v>
      </c>
      <c r="J767" s="354">
        <f>0+[1]táj.2!J767</f>
        <v>0</v>
      </c>
      <c r="K767" s="354">
        <f>0+[1]táj.2!K767</f>
        <v>0</v>
      </c>
      <c r="L767" s="354">
        <f>0+[1]táj.2!L767</f>
        <v>0</v>
      </c>
      <c r="M767" s="354">
        <f>0+[1]táj.2!M767</f>
        <v>0</v>
      </c>
      <c r="N767" s="354">
        <f>0+[1]táj.2!N767</f>
        <v>0</v>
      </c>
      <c r="O767" s="354">
        <f>0+[1]táj.2!O767</f>
        <v>0</v>
      </c>
      <c r="P767" s="354">
        <f>0+[1]táj.2!P767</f>
        <v>0</v>
      </c>
      <c r="Q767" s="336">
        <f t="shared" si="45"/>
        <v>14611</v>
      </c>
    </row>
    <row r="768" spans="1:17" ht="14.1" customHeight="1" x14ac:dyDescent="0.2">
      <c r="A768" s="349"/>
      <c r="B768" s="349"/>
      <c r="C768" s="350"/>
      <c r="D768" s="247" t="s">
        <v>1366</v>
      </c>
      <c r="E768" s="171"/>
      <c r="F768" s="171"/>
      <c r="G768" s="354"/>
      <c r="H768" s="354"/>
      <c r="I768" s="354"/>
      <c r="J768" s="354"/>
      <c r="K768" s="354"/>
      <c r="L768" s="354"/>
      <c r="M768" s="354"/>
      <c r="N768" s="354"/>
      <c r="O768" s="354"/>
      <c r="P768" s="354"/>
      <c r="Q768" s="336"/>
    </row>
    <row r="769" spans="1:17" ht="14.1" customHeight="1" x14ac:dyDescent="0.2">
      <c r="A769" s="349"/>
      <c r="B769" s="349"/>
      <c r="C769" s="350"/>
      <c r="D769" s="247" t="s">
        <v>1367</v>
      </c>
      <c r="E769" s="7">
        <v>2</v>
      </c>
      <c r="F769" s="7">
        <v>191301</v>
      </c>
      <c r="G769" s="354">
        <f>0+[1]táj.2!G769</f>
        <v>0</v>
      </c>
      <c r="H769" s="354">
        <f>0+[1]táj.2!H769</f>
        <v>0</v>
      </c>
      <c r="I769" s="354">
        <f>0+[1]táj.2!I769</f>
        <v>0</v>
      </c>
      <c r="J769" s="354">
        <f>0+[1]táj.2!J769</f>
        <v>0</v>
      </c>
      <c r="K769" s="354">
        <f>42000+[1]táj.2!K769</f>
        <v>42000</v>
      </c>
      <c r="L769" s="354">
        <f>0+[1]táj.2!L769</f>
        <v>0</v>
      </c>
      <c r="M769" s="354">
        <f>0+[1]táj.2!M769</f>
        <v>0</v>
      </c>
      <c r="N769" s="354">
        <f>0+[1]táj.2!N769</f>
        <v>0</v>
      </c>
      <c r="O769" s="354">
        <f>0+[1]táj.2!O769</f>
        <v>0</v>
      </c>
      <c r="P769" s="354">
        <f>0+[1]táj.2!P769</f>
        <v>0</v>
      </c>
      <c r="Q769" s="336">
        <f>SUM(G769:P769)</f>
        <v>42000</v>
      </c>
    </row>
    <row r="770" spans="1:17" ht="14.1" customHeight="1" x14ac:dyDescent="0.2">
      <c r="A770" s="349"/>
      <c r="B770" s="349"/>
      <c r="C770" s="350"/>
      <c r="D770" s="247" t="s">
        <v>1368</v>
      </c>
      <c r="E770" s="7">
        <v>2</v>
      </c>
      <c r="F770" s="7">
        <v>191302</v>
      </c>
      <c r="G770" s="354">
        <f>0+[1]táj.2!G770</f>
        <v>0</v>
      </c>
      <c r="H770" s="354">
        <f>0+[1]táj.2!H770</f>
        <v>0</v>
      </c>
      <c r="I770" s="354">
        <f>10167+[1]táj.2!I770</f>
        <v>10167</v>
      </c>
      <c r="J770" s="354">
        <f>0+[1]táj.2!J770</f>
        <v>0</v>
      </c>
      <c r="K770" s="354">
        <f>0+[1]táj.2!K770</f>
        <v>0</v>
      </c>
      <c r="L770" s="354">
        <f>0+[1]táj.2!L770</f>
        <v>0</v>
      </c>
      <c r="M770" s="354">
        <f>0+[1]táj.2!M770</f>
        <v>0</v>
      </c>
      <c r="N770" s="354">
        <f>0+[1]táj.2!N770</f>
        <v>0</v>
      </c>
      <c r="O770" s="354">
        <f>0+[1]táj.2!O770</f>
        <v>0</v>
      </c>
      <c r="P770" s="354">
        <f>0+[1]táj.2!P770</f>
        <v>0</v>
      </c>
      <c r="Q770" s="336">
        <f>SUM(G770:P770)</f>
        <v>10167</v>
      </c>
    </row>
    <row r="771" spans="1:17" ht="14.1" customHeight="1" x14ac:dyDescent="0.2">
      <c r="A771" s="349"/>
      <c r="B771" s="349"/>
      <c r="C771" s="350"/>
      <c r="D771" s="260" t="s">
        <v>1369</v>
      </c>
      <c r="E771" s="7">
        <v>2</v>
      </c>
      <c r="F771" s="7">
        <v>191303</v>
      </c>
      <c r="G771" s="354">
        <f>0+[1]táj.2!G771</f>
        <v>0</v>
      </c>
      <c r="H771" s="354">
        <f>0+[1]táj.2!H771</f>
        <v>0</v>
      </c>
      <c r="I771" s="354">
        <f>0+[1]táj.2!I771</f>
        <v>0</v>
      </c>
      <c r="J771" s="354">
        <f>0+[1]táj.2!J771</f>
        <v>0</v>
      </c>
      <c r="K771" s="354">
        <f>0+[1]táj.2!K771</f>
        <v>0</v>
      </c>
      <c r="L771" s="354">
        <f>0+[1]táj.2!L771</f>
        <v>0</v>
      </c>
      <c r="M771" s="354">
        <f>0+[1]táj.2!M771</f>
        <v>0</v>
      </c>
      <c r="N771" s="354">
        <f>0+[1]táj.2!N771</f>
        <v>0</v>
      </c>
      <c r="O771" s="354">
        <f>0+[1]táj.2!O771</f>
        <v>0</v>
      </c>
      <c r="P771" s="354">
        <f>0+[1]táj.2!P771</f>
        <v>0</v>
      </c>
      <c r="Q771" s="336">
        <f>SUM(G771:P771)</f>
        <v>0</v>
      </c>
    </row>
    <row r="772" spans="1:17" ht="14.1" customHeight="1" x14ac:dyDescent="0.2">
      <c r="A772" s="349"/>
      <c r="B772" s="349"/>
      <c r="C772" s="350"/>
      <c r="D772" s="355" t="s">
        <v>438</v>
      </c>
      <c r="E772" s="10"/>
      <c r="F772" s="7"/>
      <c r="G772" s="354"/>
      <c r="H772" s="354"/>
      <c r="I772" s="354"/>
      <c r="J772" s="354"/>
      <c r="K772" s="354"/>
      <c r="L772" s="354"/>
      <c r="M772" s="354"/>
      <c r="N772" s="354"/>
      <c r="O772" s="354"/>
      <c r="P772" s="354"/>
      <c r="Q772" s="336"/>
    </row>
    <row r="773" spans="1:17" ht="14.1" customHeight="1" x14ac:dyDescent="0.2">
      <c r="A773" s="349"/>
      <c r="B773" s="349"/>
      <c r="C773" s="350"/>
      <c r="D773" s="141" t="s">
        <v>1370</v>
      </c>
      <c r="E773" s="216">
        <v>2</v>
      </c>
      <c r="F773" s="25">
        <v>221951</v>
      </c>
      <c r="G773" s="354">
        <f>0+[1]táj.2!G773</f>
        <v>0</v>
      </c>
      <c r="H773" s="354">
        <f>0+[1]táj.2!H773</f>
        <v>0</v>
      </c>
      <c r="I773" s="354">
        <f>1000+[1]táj.2!I773</f>
        <v>1000</v>
      </c>
      <c r="J773" s="354">
        <f>0+[1]táj.2!J773</f>
        <v>0</v>
      </c>
      <c r="K773" s="354">
        <f>24253+[1]táj.2!K773</f>
        <v>23518</v>
      </c>
      <c r="L773" s="354">
        <f>0+[1]táj.2!L773</f>
        <v>0</v>
      </c>
      <c r="M773" s="354">
        <f>0+[1]táj.2!M773</f>
        <v>0</v>
      </c>
      <c r="N773" s="354">
        <f>100+[1]táj.2!N773</f>
        <v>200</v>
      </c>
      <c r="O773" s="354">
        <f>0+[1]táj.2!O773</f>
        <v>0</v>
      </c>
      <c r="P773" s="354">
        <f>0+[1]táj.2!P773</f>
        <v>0</v>
      </c>
      <c r="Q773" s="336">
        <f>SUM(G773:P773)</f>
        <v>24718</v>
      </c>
    </row>
    <row r="774" spans="1:17" ht="14.1" customHeight="1" x14ac:dyDescent="0.2">
      <c r="A774" s="349"/>
      <c r="B774" s="349"/>
      <c r="C774" s="356"/>
      <c r="D774" s="357" t="s">
        <v>1371</v>
      </c>
      <c r="E774" s="10">
        <v>2</v>
      </c>
      <c r="F774" s="7" t="s">
        <v>1372</v>
      </c>
      <c r="G774" s="354">
        <f>0+[1]táj.2!G774</f>
        <v>0</v>
      </c>
      <c r="H774" s="354">
        <f>0+[1]táj.2!H774</f>
        <v>60</v>
      </c>
      <c r="I774" s="354">
        <f>50033+[1]táj.2!I774</f>
        <v>40569</v>
      </c>
      <c r="J774" s="354">
        <f>0+[1]táj.2!J774</f>
        <v>0</v>
      </c>
      <c r="K774" s="354">
        <f>1250+[1]táj.2!K774</f>
        <v>3200</v>
      </c>
      <c r="L774" s="354">
        <f>0+[1]táj.2!L774</f>
        <v>0</v>
      </c>
      <c r="M774" s="354">
        <f>0+[1]táj.2!M774</f>
        <v>0</v>
      </c>
      <c r="N774" s="354">
        <f>50+[1]táj.2!N774</f>
        <v>50</v>
      </c>
      <c r="O774" s="354">
        <f>0+[1]táj.2!O774</f>
        <v>0</v>
      </c>
      <c r="P774" s="354">
        <f>0+[1]táj.2!P774</f>
        <v>0</v>
      </c>
      <c r="Q774" s="336">
        <f>SUM(G774:P774)</f>
        <v>43879</v>
      </c>
    </row>
    <row r="775" spans="1:17" ht="14.1" customHeight="1" x14ac:dyDescent="0.2">
      <c r="A775" s="349"/>
      <c r="B775" s="349"/>
      <c r="C775" s="350"/>
      <c r="D775" s="258" t="s">
        <v>1373</v>
      </c>
      <c r="E775" s="10"/>
      <c r="F775" s="7"/>
      <c r="G775" s="354"/>
      <c r="H775" s="354"/>
      <c r="I775" s="354"/>
      <c r="J775" s="354"/>
      <c r="K775" s="354"/>
      <c r="L775" s="354"/>
      <c r="M775" s="354"/>
      <c r="N775" s="354"/>
      <c r="O775" s="354"/>
      <c r="P775" s="354"/>
      <c r="Q775" s="336"/>
    </row>
    <row r="776" spans="1:17" ht="14.1" customHeight="1" x14ac:dyDescent="0.2">
      <c r="A776" s="349"/>
      <c r="B776" s="349"/>
      <c r="C776" s="350"/>
      <c r="D776" s="258" t="s">
        <v>1374</v>
      </c>
      <c r="E776" s="10">
        <v>2</v>
      </c>
      <c r="F776" s="7">
        <v>221929</v>
      </c>
      <c r="G776" s="354">
        <f>0+[1]táj.2!G776</f>
        <v>0</v>
      </c>
      <c r="H776" s="354">
        <f>0+[1]táj.2!H776</f>
        <v>0</v>
      </c>
      <c r="I776" s="354">
        <f>0+[1]táj.2!I776</f>
        <v>0</v>
      </c>
      <c r="J776" s="354">
        <f>0+[1]táj.2!J776</f>
        <v>0</v>
      </c>
      <c r="K776" s="354">
        <f>13806+[1]táj.2!K776</f>
        <v>13806</v>
      </c>
      <c r="L776" s="354">
        <f>0+[1]táj.2!L776</f>
        <v>0</v>
      </c>
      <c r="M776" s="354">
        <f>0+[1]táj.2!M776</f>
        <v>0</v>
      </c>
      <c r="N776" s="354">
        <f>0+[1]táj.2!N776</f>
        <v>0</v>
      </c>
      <c r="O776" s="354">
        <f>0+[1]táj.2!O776</f>
        <v>0</v>
      </c>
      <c r="P776" s="354">
        <f>0+[1]táj.2!P776</f>
        <v>0</v>
      </c>
      <c r="Q776" s="336">
        <f>SUM(G776:P776)</f>
        <v>13806</v>
      </c>
    </row>
    <row r="777" spans="1:17" ht="14.1" customHeight="1" x14ac:dyDescent="0.2">
      <c r="A777" s="349"/>
      <c r="B777" s="349"/>
      <c r="C777" s="358"/>
      <c r="D777" s="258" t="s">
        <v>1375</v>
      </c>
      <c r="E777" s="10">
        <v>2</v>
      </c>
      <c r="F777" s="7">
        <v>191402</v>
      </c>
      <c r="G777" s="354">
        <f>0+[1]táj.2!G777</f>
        <v>0</v>
      </c>
      <c r="H777" s="354">
        <f>0+[1]táj.2!H777</f>
        <v>0</v>
      </c>
      <c r="I777" s="354">
        <f>0+[1]táj.2!I777</f>
        <v>0</v>
      </c>
      <c r="J777" s="354">
        <f>0+[1]táj.2!J777</f>
        <v>0</v>
      </c>
      <c r="K777" s="354">
        <f>7000+[1]táj.2!K777</f>
        <v>7000</v>
      </c>
      <c r="L777" s="354">
        <f>0+[1]táj.2!L777</f>
        <v>0</v>
      </c>
      <c r="M777" s="354">
        <f>0+[1]táj.2!M777</f>
        <v>0</v>
      </c>
      <c r="N777" s="354">
        <f>0+[1]táj.2!N777</f>
        <v>0</v>
      </c>
      <c r="O777" s="354">
        <f>0+[1]táj.2!O777</f>
        <v>0</v>
      </c>
      <c r="P777" s="354">
        <f>0+[1]táj.2!P777</f>
        <v>0</v>
      </c>
      <c r="Q777" s="336">
        <f>SUM(G777:P777)</f>
        <v>7000</v>
      </c>
    </row>
    <row r="778" spans="1:17" ht="14.1" customHeight="1" x14ac:dyDescent="0.2">
      <c r="A778" s="349"/>
      <c r="B778" s="349"/>
      <c r="C778" s="358"/>
      <c r="D778" s="258" t="s">
        <v>1376</v>
      </c>
      <c r="E778" s="10"/>
      <c r="F778" s="7"/>
      <c r="G778" s="354"/>
      <c r="H778" s="354"/>
      <c r="I778" s="354"/>
      <c r="J778" s="354"/>
      <c r="K778" s="354"/>
      <c r="L778" s="354"/>
      <c r="M778" s="354"/>
      <c r="N778" s="354"/>
      <c r="O778" s="354"/>
      <c r="P778" s="354"/>
      <c r="Q778" s="336"/>
    </row>
    <row r="779" spans="1:17" ht="14.1" customHeight="1" x14ac:dyDescent="0.2">
      <c r="A779" s="349"/>
      <c r="B779" s="349"/>
      <c r="C779" s="358"/>
      <c r="D779" s="258" t="s">
        <v>1377</v>
      </c>
      <c r="E779" s="10">
        <v>1</v>
      </c>
      <c r="F779" s="7">
        <v>221909</v>
      </c>
      <c r="G779" s="354">
        <f>0+[1]táj.2!G779</f>
        <v>0</v>
      </c>
      <c r="H779" s="354">
        <f>0+[1]táj.2!H779</f>
        <v>0</v>
      </c>
      <c r="I779" s="354">
        <f>0+[1]táj.2!I779</f>
        <v>0</v>
      </c>
      <c r="J779" s="354">
        <f>0+[1]táj.2!J779</f>
        <v>0</v>
      </c>
      <c r="K779" s="354">
        <f>17133+[1]táj.2!K779</f>
        <v>17133</v>
      </c>
      <c r="L779" s="354">
        <f>0+[1]táj.2!L779</f>
        <v>0</v>
      </c>
      <c r="M779" s="354">
        <f>0+[1]táj.2!M779</f>
        <v>0</v>
      </c>
      <c r="N779" s="354">
        <f>0+[1]táj.2!N779</f>
        <v>0</v>
      </c>
      <c r="O779" s="354">
        <f>0+[1]táj.2!O779</f>
        <v>0</v>
      </c>
      <c r="P779" s="354">
        <f>0+[1]táj.2!P779</f>
        <v>0</v>
      </c>
      <c r="Q779" s="336">
        <f>SUM(G779:P779)</f>
        <v>17133</v>
      </c>
    </row>
    <row r="780" spans="1:17" ht="14.1" customHeight="1" x14ac:dyDescent="0.2">
      <c r="A780" s="349"/>
      <c r="B780" s="349"/>
      <c r="C780" s="350"/>
      <c r="D780" s="258" t="s">
        <v>1378</v>
      </c>
      <c r="E780" s="10">
        <v>1</v>
      </c>
      <c r="F780" s="7">
        <v>221913</v>
      </c>
      <c r="G780" s="354">
        <f>0+[1]táj.2!G780</f>
        <v>213</v>
      </c>
      <c r="H780" s="354">
        <f>0+[1]táj.2!H780</f>
        <v>89</v>
      </c>
      <c r="I780" s="354">
        <f>20628+[1]táj.2!I780</f>
        <v>20326</v>
      </c>
      <c r="J780" s="354">
        <f>0+[1]táj.2!J780</f>
        <v>0</v>
      </c>
      <c r="K780" s="354">
        <f>0+[1]táj.2!K780</f>
        <v>0</v>
      </c>
      <c r="L780" s="354">
        <f>0+[1]táj.2!L780</f>
        <v>0</v>
      </c>
      <c r="M780" s="354">
        <f>0+[1]táj.2!M780</f>
        <v>0</v>
      </c>
      <c r="N780" s="354">
        <f>0+[1]táj.2!N780</f>
        <v>0</v>
      </c>
      <c r="O780" s="354">
        <f>0+[1]táj.2!O780</f>
        <v>0</v>
      </c>
      <c r="P780" s="354">
        <f>0+[1]táj.2!P780</f>
        <v>0</v>
      </c>
      <c r="Q780" s="336">
        <f>SUM(G780:P780)</f>
        <v>20628</v>
      </c>
    </row>
    <row r="781" spans="1:17" ht="14.1" customHeight="1" x14ac:dyDescent="0.2">
      <c r="A781" s="349"/>
      <c r="B781" s="349"/>
      <c r="C781" s="350"/>
      <c r="D781" s="258" t="s">
        <v>84</v>
      </c>
      <c r="E781" s="10">
        <v>1</v>
      </c>
      <c r="F781" s="7">
        <v>221962</v>
      </c>
      <c r="G781" s="354">
        <f>0+[1]táj.2!G781</f>
        <v>0</v>
      </c>
      <c r="H781" s="354"/>
      <c r="I781" s="354"/>
      <c r="J781" s="354"/>
      <c r="K781" s="354">
        <f>54000+[1]táj.2!K781</f>
        <v>54000</v>
      </c>
      <c r="L781" s="354"/>
      <c r="M781" s="354"/>
      <c r="N781" s="354"/>
      <c r="O781" s="354"/>
      <c r="P781" s="354"/>
      <c r="Q781" s="336">
        <v>54000</v>
      </c>
    </row>
    <row r="782" spans="1:17" ht="25.5" x14ac:dyDescent="0.2">
      <c r="A782" s="349"/>
      <c r="B782" s="349"/>
      <c r="C782" s="350"/>
      <c r="D782" s="137" t="s">
        <v>1379</v>
      </c>
      <c r="E782" s="10">
        <v>2</v>
      </c>
      <c r="F782" s="7">
        <v>221914</v>
      </c>
      <c r="G782" s="354">
        <f>0+[1]táj.2!G782</f>
        <v>0</v>
      </c>
      <c r="H782" s="354">
        <f>0+[1]táj.2!H782</f>
        <v>0</v>
      </c>
      <c r="I782" s="354">
        <f>0+[1]táj.2!I782</f>
        <v>0</v>
      </c>
      <c r="J782" s="354">
        <f>0+[1]táj.2!J782</f>
        <v>0</v>
      </c>
      <c r="K782" s="354">
        <f>5000+[1]táj.2!K782</f>
        <v>1500</v>
      </c>
      <c r="L782" s="354">
        <f>0+[1]táj.2!L782</f>
        <v>0</v>
      </c>
      <c r="M782" s="354">
        <f>0+[1]táj.2!M782</f>
        <v>0</v>
      </c>
      <c r="N782" s="354">
        <f>0+[1]táj.2!N782</f>
        <v>0</v>
      </c>
      <c r="O782" s="354">
        <f>0+[1]táj.2!O782</f>
        <v>0</v>
      </c>
      <c r="P782" s="354">
        <f>0+[1]táj.2!P782</f>
        <v>0</v>
      </c>
      <c r="Q782" s="336">
        <f>SUM(G782:P782)</f>
        <v>1500</v>
      </c>
    </row>
    <row r="783" spans="1:17" ht="25.5" x14ac:dyDescent="0.2">
      <c r="A783" s="349"/>
      <c r="B783" s="349"/>
      <c r="C783" s="350"/>
      <c r="D783" s="139" t="s">
        <v>1380</v>
      </c>
      <c r="E783" s="10">
        <v>2</v>
      </c>
      <c r="F783" s="187">
        <v>221955</v>
      </c>
      <c r="G783" s="354">
        <f>0+[1]táj.2!G783</f>
        <v>0</v>
      </c>
      <c r="H783" s="354">
        <f>0+[1]táj.2!H783</f>
        <v>0</v>
      </c>
      <c r="I783" s="354">
        <f>4731+[1]táj.2!I783</f>
        <v>23654</v>
      </c>
      <c r="J783" s="354">
        <f>0+[1]táj.2!J783</f>
        <v>0</v>
      </c>
      <c r="K783" s="354">
        <f>0+[1]táj.2!K783</f>
        <v>0</v>
      </c>
      <c r="L783" s="354">
        <f>0+[1]táj.2!L783</f>
        <v>0</v>
      </c>
      <c r="M783" s="354">
        <f>0+[1]táj.2!M783</f>
        <v>0</v>
      </c>
      <c r="N783" s="354">
        <f>0+[1]táj.2!N783</f>
        <v>0</v>
      </c>
      <c r="O783" s="354">
        <f>0+[1]táj.2!O783</f>
        <v>0</v>
      </c>
      <c r="P783" s="354">
        <f>0+[1]táj.2!P783</f>
        <v>0</v>
      </c>
      <c r="Q783" s="336">
        <f>SUM(G783:P783)</f>
        <v>23654</v>
      </c>
    </row>
    <row r="784" spans="1:17" ht="12.75" x14ac:dyDescent="0.2">
      <c r="A784" s="349"/>
      <c r="B784" s="349"/>
      <c r="C784" s="350"/>
      <c r="D784" s="247" t="s">
        <v>1381</v>
      </c>
      <c r="E784" s="171"/>
      <c r="F784" s="171"/>
      <c r="G784" s="354"/>
      <c r="H784" s="354"/>
      <c r="I784" s="354"/>
      <c r="J784" s="354"/>
      <c r="K784" s="354"/>
      <c r="L784" s="354"/>
      <c r="M784" s="354"/>
      <c r="N784" s="354"/>
      <c r="O784" s="354"/>
      <c r="P784" s="354"/>
      <c r="Q784" s="7"/>
    </row>
    <row r="785" spans="1:17" ht="12.75" x14ac:dyDescent="0.2">
      <c r="A785" s="349"/>
      <c r="B785" s="349"/>
      <c r="C785" s="350"/>
      <c r="D785" s="247" t="s">
        <v>1382</v>
      </c>
      <c r="E785" s="7">
        <v>2</v>
      </c>
      <c r="F785" s="7">
        <v>191151</v>
      </c>
      <c r="G785" s="354">
        <f>0+[1]táj.2!G785</f>
        <v>0</v>
      </c>
      <c r="H785" s="354">
        <f>0+[1]táj.2!H785</f>
        <v>0</v>
      </c>
      <c r="I785" s="354">
        <f>0+[1]táj.2!I785</f>
        <v>0</v>
      </c>
      <c r="J785" s="354">
        <f>0+[1]táj.2!J785</f>
        <v>0</v>
      </c>
      <c r="K785" s="354">
        <f>70000+[1]táj.2!K785</f>
        <v>70000</v>
      </c>
      <c r="L785" s="354">
        <f>0+[1]táj.2!L785</f>
        <v>0</v>
      </c>
      <c r="M785" s="354">
        <f>0+[1]táj.2!M785</f>
        <v>0</v>
      </c>
      <c r="N785" s="354">
        <f>0+[1]táj.2!N785</f>
        <v>0</v>
      </c>
      <c r="O785" s="354">
        <f>0+[1]táj.2!O785</f>
        <v>0</v>
      </c>
      <c r="P785" s="354">
        <f>0+[1]táj.2!P785</f>
        <v>0</v>
      </c>
      <c r="Q785" s="7">
        <f>SUM(G785:P785)</f>
        <v>70000</v>
      </c>
    </row>
    <row r="786" spans="1:17" ht="12.75" x14ac:dyDescent="0.2">
      <c r="A786" s="349"/>
      <c r="B786" s="349"/>
      <c r="C786" s="350"/>
      <c r="D786" s="247" t="s">
        <v>610</v>
      </c>
      <c r="E786" s="10"/>
      <c r="F786" s="187"/>
      <c r="G786" s="354"/>
      <c r="H786" s="354"/>
      <c r="I786" s="354"/>
      <c r="J786" s="354"/>
      <c r="K786" s="354"/>
      <c r="L786" s="354"/>
      <c r="M786" s="354"/>
      <c r="N786" s="354"/>
      <c r="O786" s="354"/>
      <c r="P786" s="354"/>
      <c r="Q786" s="336"/>
    </row>
    <row r="787" spans="1:17" ht="25.5" x14ac:dyDescent="0.2">
      <c r="A787" s="349"/>
      <c r="B787" s="349"/>
      <c r="C787" s="350"/>
      <c r="D787" s="141" t="s">
        <v>1420</v>
      </c>
      <c r="E787" s="10">
        <v>2</v>
      </c>
      <c r="F787" s="187">
        <v>221942</v>
      </c>
      <c r="G787" s="354">
        <f>0+[1]táj.2!G787</f>
        <v>0</v>
      </c>
      <c r="H787" s="354">
        <f>0+[1]táj.2!H787</f>
        <v>0</v>
      </c>
      <c r="I787" s="354">
        <f>10000+[1]táj.2!I787</f>
        <v>10000</v>
      </c>
      <c r="J787" s="354">
        <f>0+[1]táj.2!J787</f>
        <v>0</v>
      </c>
      <c r="K787" s="354">
        <f>0+[1]táj.2!K787</f>
        <v>0</v>
      </c>
      <c r="L787" s="354">
        <f>0+[1]táj.2!L787</f>
        <v>0</v>
      </c>
      <c r="M787" s="354">
        <f>0+[1]táj.2!M787</f>
        <v>0</v>
      </c>
      <c r="N787" s="354">
        <f>0+[1]táj.2!N787</f>
        <v>0</v>
      </c>
      <c r="O787" s="354">
        <f>0+[1]táj.2!O787</f>
        <v>0</v>
      </c>
      <c r="P787" s="354">
        <f>0+[1]táj.2!P787</f>
        <v>0</v>
      </c>
      <c r="Q787" s="336">
        <f t="shared" ref="Q787:Q799" si="46">SUM(G787:P787)</f>
        <v>10000</v>
      </c>
    </row>
    <row r="788" spans="1:17" ht="12.75" x14ac:dyDescent="0.2">
      <c r="A788" s="349"/>
      <c r="B788" s="349"/>
      <c r="C788" s="350"/>
      <c r="D788" s="141" t="s">
        <v>1431</v>
      </c>
      <c r="E788" s="10">
        <v>2</v>
      </c>
      <c r="F788" s="187">
        <v>221961</v>
      </c>
      <c r="G788" s="354">
        <f>0+[1]táj.2!G788</f>
        <v>0</v>
      </c>
      <c r="H788" s="354">
        <f>0+[1]táj.2!H788</f>
        <v>0</v>
      </c>
      <c r="I788" s="354">
        <f>0+[1]táj.2!I788</f>
        <v>0</v>
      </c>
      <c r="J788" s="354">
        <f>0+[1]táj.2!J788</f>
        <v>0</v>
      </c>
      <c r="K788" s="354">
        <f>0+[1]táj.2!K788</f>
        <v>0</v>
      </c>
      <c r="L788" s="354">
        <f>0+[1]táj.2!L788</f>
        <v>0</v>
      </c>
      <c r="M788" s="354">
        <f>0+[1]táj.2!M788</f>
        <v>0</v>
      </c>
      <c r="N788" s="354">
        <f>0+[1]táj.2!N788</f>
        <v>0</v>
      </c>
      <c r="O788" s="354">
        <f>0+[1]táj.2!O788</f>
        <v>0</v>
      </c>
      <c r="P788" s="354">
        <f>0+[1]táj.2!P788</f>
        <v>0</v>
      </c>
      <c r="Q788" s="336">
        <f t="shared" si="46"/>
        <v>0</v>
      </c>
    </row>
    <row r="789" spans="1:17" ht="25.5" x14ac:dyDescent="0.2">
      <c r="A789" s="349"/>
      <c r="B789" s="349"/>
      <c r="C789" s="350"/>
      <c r="D789" s="141" t="s">
        <v>1383</v>
      </c>
      <c r="E789" s="10">
        <v>2</v>
      </c>
      <c r="F789" s="187">
        <v>221910</v>
      </c>
      <c r="G789" s="354">
        <f>0+[1]táj.2!G789</f>
        <v>0</v>
      </c>
      <c r="H789" s="354">
        <f>0+[1]táj.2!H789</f>
        <v>0</v>
      </c>
      <c r="I789" s="354">
        <f>0+[1]táj.2!I789</f>
        <v>0</v>
      </c>
      <c r="J789" s="354">
        <f>0+[1]táj.2!J789</f>
        <v>0</v>
      </c>
      <c r="K789" s="354">
        <f>7000+[1]táj.2!K789</f>
        <v>0</v>
      </c>
      <c r="L789" s="354">
        <f>0+[1]táj.2!L789</f>
        <v>0</v>
      </c>
      <c r="M789" s="354">
        <f>0+[1]táj.2!M789</f>
        <v>0</v>
      </c>
      <c r="N789" s="354">
        <f>0+[1]táj.2!N789</f>
        <v>0</v>
      </c>
      <c r="O789" s="354">
        <f>0+[1]táj.2!O789</f>
        <v>0</v>
      </c>
      <c r="P789" s="354">
        <f>0+[1]táj.2!P789</f>
        <v>0</v>
      </c>
      <c r="Q789" s="336">
        <f t="shared" si="46"/>
        <v>0</v>
      </c>
    </row>
    <row r="790" spans="1:17" ht="38.25" x14ac:dyDescent="0.2">
      <c r="A790" s="349"/>
      <c r="B790" s="349"/>
      <c r="C790" s="350"/>
      <c r="D790" s="200" t="s">
        <v>1384</v>
      </c>
      <c r="E790" s="10">
        <v>2</v>
      </c>
      <c r="F790" s="187">
        <v>221919</v>
      </c>
      <c r="G790" s="354">
        <f>0+[1]táj.2!G790</f>
        <v>0</v>
      </c>
      <c r="H790" s="354">
        <f>0+[1]táj.2!H790</f>
        <v>0</v>
      </c>
      <c r="I790" s="354">
        <f>0+[1]táj.2!I790</f>
        <v>0</v>
      </c>
      <c r="J790" s="354">
        <f>0+[1]táj.2!J790</f>
        <v>0</v>
      </c>
      <c r="K790" s="354">
        <f>500+[1]táj.2!K790</f>
        <v>500</v>
      </c>
      <c r="L790" s="354">
        <f>0+[1]táj.2!L790</f>
        <v>0</v>
      </c>
      <c r="M790" s="354">
        <f>0+[1]táj.2!M790</f>
        <v>0</v>
      </c>
      <c r="N790" s="354">
        <f>0+[1]táj.2!N790</f>
        <v>0</v>
      </c>
      <c r="O790" s="354">
        <f>0+[1]táj.2!O790</f>
        <v>0</v>
      </c>
      <c r="P790" s="354">
        <f>0+[1]táj.2!P790</f>
        <v>0</v>
      </c>
      <c r="Q790" s="336">
        <f t="shared" si="46"/>
        <v>500</v>
      </c>
    </row>
    <row r="791" spans="1:17" ht="25.5" x14ac:dyDescent="0.2">
      <c r="A791" s="349"/>
      <c r="B791" s="349"/>
      <c r="C791" s="350"/>
      <c r="D791" s="200" t="s">
        <v>1385</v>
      </c>
      <c r="E791" s="10">
        <v>2</v>
      </c>
      <c r="F791" s="187">
        <v>221938</v>
      </c>
      <c r="G791" s="354">
        <f>0+[1]táj.2!G791</f>
        <v>0</v>
      </c>
      <c r="H791" s="354">
        <f>0+[1]táj.2!H791</f>
        <v>0</v>
      </c>
      <c r="I791" s="354">
        <f>0+[1]táj.2!I791</f>
        <v>0</v>
      </c>
      <c r="J791" s="354">
        <f>0+[1]táj.2!J791</f>
        <v>0</v>
      </c>
      <c r="K791" s="354">
        <f>0+[1]táj.2!K791</f>
        <v>0</v>
      </c>
      <c r="L791" s="354">
        <f>0+[1]táj.2!L791</f>
        <v>0</v>
      </c>
      <c r="M791" s="354">
        <f>0+[1]táj.2!M791</f>
        <v>0</v>
      </c>
      <c r="N791" s="354">
        <f>0+[1]táj.2!N791</f>
        <v>0</v>
      </c>
      <c r="O791" s="354">
        <f>0+[1]táj.2!O791</f>
        <v>0</v>
      </c>
      <c r="P791" s="354">
        <f>0+[1]táj.2!P791</f>
        <v>0</v>
      </c>
      <c r="Q791" s="336">
        <f t="shared" si="46"/>
        <v>0</v>
      </c>
    </row>
    <row r="792" spans="1:17" ht="12.75" x14ac:dyDescent="0.2">
      <c r="A792" s="349"/>
      <c r="B792" s="349"/>
      <c r="C792" s="350"/>
      <c r="D792" s="214" t="s">
        <v>85</v>
      </c>
      <c r="E792" s="134">
        <v>2</v>
      </c>
      <c r="F792" s="7">
        <v>121518</v>
      </c>
      <c r="G792" s="354">
        <f>0+[1]táj.2!G792</f>
        <v>0</v>
      </c>
      <c r="H792" s="354">
        <f>0+[1]táj.2!H792</f>
        <v>0</v>
      </c>
      <c r="I792" s="354">
        <f>0+[1]táj.2!I792</f>
        <v>0</v>
      </c>
      <c r="J792" s="354">
        <f>0+[1]táj.2!J792</f>
        <v>0</v>
      </c>
      <c r="K792" s="354">
        <f>500+[1]táj.2!K792</f>
        <v>500</v>
      </c>
      <c r="L792" s="354">
        <f>0+[1]táj.2!L792</f>
        <v>0</v>
      </c>
      <c r="M792" s="354">
        <f>0+[1]táj.2!M792</f>
        <v>0</v>
      </c>
      <c r="N792" s="354">
        <f>0+[1]táj.2!N792</f>
        <v>0</v>
      </c>
      <c r="O792" s="354">
        <f>0+[1]táj.2!O792</f>
        <v>0</v>
      </c>
      <c r="P792" s="354">
        <f>0+[1]táj.2!P792</f>
        <v>0</v>
      </c>
      <c r="Q792" s="336">
        <f t="shared" si="46"/>
        <v>500</v>
      </c>
    </row>
    <row r="793" spans="1:17" ht="12.75" x14ac:dyDescent="0.2">
      <c r="A793" s="349"/>
      <c r="B793" s="349"/>
      <c r="C793" s="350"/>
      <c r="D793" s="137" t="s">
        <v>1386</v>
      </c>
      <c r="E793" s="10">
        <v>2</v>
      </c>
      <c r="F793" s="187">
        <v>221931</v>
      </c>
      <c r="G793" s="354">
        <f>0+[1]táj.2!G793</f>
        <v>0</v>
      </c>
      <c r="H793" s="354">
        <f>0+[1]táj.2!H793</f>
        <v>0</v>
      </c>
      <c r="I793" s="354">
        <f>0+[1]táj.2!I793</f>
        <v>0</v>
      </c>
      <c r="J793" s="354">
        <f>0+[1]táj.2!J793</f>
        <v>0</v>
      </c>
      <c r="K793" s="354">
        <f>1000+[1]táj.2!K793</f>
        <v>1000</v>
      </c>
      <c r="L793" s="354">
        <f>0+[1]táj.2!L793</f>
        <v>0</v>
      </c>
      <c r="M793" s="354">
        <f>0+[1]táj.2!M793</f>
        <v>0</v>
      </c>
      <c r="N793" s="354">
        <f>0+[1]táj.2!N793</f>
        <v>0</v>
      </c>
      <c r="O793" s="354">
        <f>0+[1]táj.2!O793</f>
        <v>0</v>
      </c>
      <c r="P793" s="354">
        <f>0+[1]táj.2!P793</f>
        <v>0</v>
      </c>
      <c r="Q793" s="336">
        <f t="shared" si="46"/>
        <v>1000</v>
      </c>
    </row>
    <row r="794" spans="1:17" ht="25.5" x14ac:dyDescent="0.2">
      <c r="A794" s="349"/>
      <c r="B794" s="349"/>
      <c r="C794" s="350"/>
      <c r="D794" s="137" t="s">
        <v>1387</v>
      </c>
      <c r="E794" s="10">
        <v>2</v>
      </c>
      <c r="F794" s="187">
        <v>221957</v>
      </c>
      <c r="G794" s="354">
        <f>0+[1]táj.2!G794</f>
        <v>0</v>
      </c>
      <c r="H794" s="354">
        <f>0+[1]táj.2!H794</f>
        <v>0</v>
      </c>
      <c r="I794" s="354">
        <f>0+[1]táj.2!I794</f>
        <v>0</v>
      </c>
      <c r="J794" s="354">
        <f>0+[1]táj.2!J794</f>
        <v>0</v>
      </c>
      <c r="K794" s="354">
        <f>300+[1]táj.2!K794</f>
        <v>300</v>
      </c>
      <c r="L794" s="354">
        <f>0+[1]táj.2!L794</f>
        <v>0</v>
      </c>
      <c r="M794" s="354">
        <f>0+[1]táj.2!M794</f>
        <v>0</v>
      </c>
      <c r="N794" s="354">
        <f>0+[1]táj.2!N794</f>
        <v>0</v>
      </c>
      <c r="O794" s="354">
        <f>0+[1]táj.2!O794</f>
        <v>0</v>
      </c>
      <c r="P794" s="354">
        <f>0+[1]táj.2!P794</f>
        <v>0</v>
      </c>
      <c r="Q794" s="336">
        <f t="shared" si="46"/>
        <v>300</v>
      </c>
    </row>
    <row r="795" spans="1:17" ht="25.5" customHeight="1" x14ac:dyDescent="0.2">
      <c r="A795" s="349"/>
      <c r="B795" s="349"/>
      <c r="C795" s="350"/>
      <c r="D795" s="200" t="s">
        <v>86</v>
      </c>
      <c r="E795" s="10">
        <v>2</v>
      </c>
      <c r="F795" s="187">
        <v>221915</v>
      </c>
      <c r="G795" s="354">
        <f>0+[1]táj.2!G795</f>
        <v>0</v>
      </c>
      <c r="H795" s="354">
        <f>0+[1]táj.2!H795</f>
        <v>0</v>
      </c>
      <c r="I795" s="354">
        <f>0+[1]táj.2!I795</f>
        <v>0</v>
      </c>
      <c r="J795" s="354">
        <f>0+[1]táj.2!J795</f>
        <v>0</v>
      </c>
      <c r="K795" s="354">
        <f>2500+[1]táj.2!K795</f>
        <v>2500</v>
      </c>
      <c r="L795" s="354">
        <f>0+[1]táj.2!L795</f>
        <v>0</v>
      </c>
      <c r="M795" s="354">
        <f>0+[1]táj.2!M795</f>
        <v>0</v>
      </c>
      <c r="N795" s="354">
        <f>0+[1]táj.2!N795</f>
        <v>0</v>
      </c>
      <c r="O795" s="354">
        <f>0+[1]táj.2!O795</f>
        <v>0</v>
      </c>
      <c r="P795" s="354">
        <f>0+[1]táj.2!P795</f>
        <v>0</v>
      </c>
      <c r="Q795" s="336">
        <f t="shared" si="46"/>
        <v>2500</v>
      </c>
    </row>
    <row r="796" spans="1:17" ht="12.75" x14ac:dyDescent="0.2">
      <c r="A796" s="349"/>
      <c r="B796" s="349"/>
      <c r="C796" s="350"/>
      <c r="D796" s="200" t="s">
        <v>1388</v>
      </c>
      <c r="E796" s="10">
        <v>2</v>
      </c>
      <c r="F796" s="187">
        <v>221958</v>
      </c>
      <c r="G796" s="354">
        <f>0+[1]táj.2!G796</f>
        <v>0</v>
      </c>
      <c r="H796" s="354">
        <f>0+[1]táj.2!H796</f>
        <v>0</v>
      </c>
      <c r="I796" s="354">
        <f>0+[1]táj.2!I796</f>
        <v>0</v>
      </c>
      <c r="J796" s="354">
        <f>0+[1]táj.2!J796</f>
        <v>0</v>
      </c>
      <c r="K796" s="354">
        <f>0+[1]táj.2!K796</f>
        <v>0</v>
      </c>
      <c r="L796" s="354">
        <f>0+[1]táj.2!L796</f>
        <v>0</v>
      </c>
      <c r="M796" s="354">
        <f>0+[1]táj.2!M796</f>
        <v>0</v>
      </c>
      <c r="N796" s="354">
        <f>0+[1]táj.2!N796</f>
        <v>0</v>
      </c>
      <c r="O796" s="354">
        <f>0+[1]táj.2!O796</f>
        <v>0</v>
      </c>
      <c r="P796" s="354">
        <f>0+[1]táj.2!P796</f>
        <v>0</v>
      </c>
      <c r="Q796" s="336">
        <f t="shared" si="46"/>
        <v>0</v>
      </c>
    </row>
    <row r="797" spans="1:17" ht="12.75" x14ac:dyDescent="0.2">
      <c r="A797" s="349"/>
      <c r="B797" s="349"/>
      <c r="C797" s="350"/>
      <c r="D797" s="200" t="s">
        <v>87</v>
      </c>
      <c r="E797" s="10">
        <v>2</v>
      </c>
      <c r="F797" s="187">
        <v>221944</v>
      </c>
      <c r="G797" s="354">
        <f>0+[1]táj.2!G797</f>
        <v>0</v>
      </c>
      <c r="H797" s="354">
        <f>0+[1]táj.2!H797</f>
        <v>0</v>
      </c>
      <c r="I797" s="354">
        <f>0+[1]táj.2!I797</f>
        <v>0</v>
      </c>
      <c r="J797" s="354">
        <f>0+[1]táj.2!J797</f>
        <v>0</v>
      </c>
      <c r="K797" s="354">
        <f>0+[1]táj.2!K797</f>
        <v>0</v>
      </c>
      <c r="L797" s="354">
        <f>0+[1]táj.2!L797</f>
        <v>0</v>
      </c>
      <c r="M797" s="354">
        <f>0+[1]táj.2!M797</f>
        <v>0</v>
      </c>
      <c r="N797" s="354">
        <f>0+[1]táj.2!N797</f>
        <v>0</v>
      </c>
      <c r="O797" s="354">
        <f>0+[1]táj.2!O797</f>
        <v>0</v>
      </c>
      <c r="P797" s="354">
        <f>0+[1]táj.2!P797</f>
        <v>0</v>
      </c>
      <c r="Q797" s="336">
        <f t="shared" si="46"/>
        <v>0</v>
      </c>
    </row>
    <row r="798" spans="1:17" ht="25.5" customHeight="1" x14ac:dyDescent="0.2">
      <c r="A798" s="349"/>
      <c r="B798" s="349"/>
      <c r="C798" s="350"/>
      <c r="D798" s="243" t="s">
        <v>1389</v>
      </c>
      <c r="E798" s="10">
        <v>2</v>
      </c>
      <c r="F798" s="187">
        <v>221959</v>
      </c>
      <c r="G798" s="354">
        <f>0+[1]táj.2!G798</f>
        <v>0</v>
      </c>
      <c r="H798" s="354">
        <f>0+[1]táj.2!H798</f>
        <v>0</v>
      </c>
      <c r="I798" s="354">
        <f>0+[1]táj.2!I798</f>
        <v>0</v>
      </c>
      <c r="J798" s="354">
        <f>0+[1]táj.2!J798</f>
        <v>0</v>
      </c>
      <c r="K798" s="354">
        <f>500+[1]táj.2!K798</f>
        <v>500</v>
      </c>
      <c r="L798" s="354">
        <f>0+[1]táj.2!L798</f>
        <v>0</v>
      </c>
      <c r="M798" s="354">
        <f>0+[1]táj.2!M798</f>
        <v>0</v>
      </c>
      <c r="N798" s="354">
        <f>0+[1]táj.2!N798</f>
        <v>0</v>
      </c>
      <c r="O798" s="354">
        <f>0+[1]táj.2!O798</f>
        <v>0</v>
      </c>
      <c r="P798" s="354">
        <f>0+[1]táj.2!P798</f>
        <v>0</v>
      </c>
      <c r="Q798" s="336">
        <f t="shared" si="46"/>
        <v>500</v>
      </c>
    </row>
    <row r="799" spans="1:17" ht="12.75" x14ac:dyDescent="0.2">
      <c r="A799" s="349"/>
      <c r="B799" s="349"/>
      <c r="C799" s="350"/>
      <c r="D799" s="243" t="s">
        <v>1390</v>
      </c>
      <c r="E799" s="10">
        <v>2</v>
      </c>
      <c r="F799" s="187">
        <v>221960</v>
      </c>
      <c r="G799" s="354">
        <f>0+[1]táj.2!G799</f>
        <v>0</v>
      </c>
      <c r="H799" s="354">
        <f>0+[1]táj.2!H799</f>
        <v>0</v>
      </c>
      <c r="I799" s="354">
        <f>0+[1]táj.2!I799</f>
        <v>0</v>
      </c>
      <c r="J799" s="354">
        <f>0+[1]táj.2!J799</f>
        <v>0</v>
      </c>
      <c r="K799" s="354">
        <f>2500+[1]táj.2!K799</f>
        <v>2500</v>
      </c>
      <c r="L799" s="354">
        <f>0+[1]táj.2!L799</f>
        <v>0</v>
      </c>
      <c r="M799" s="354">
        <f>0+[1]táj.2!M799</f>
        <v>0</v>
      </c>
      <c r="N799" s="354">
        <f>0+[1]táj.2!N799</f>
        <v>0</v>
      </c>
      <c r="O799" s="354">
        <f>0+[1]táj.2!O799</f>
        <v>0</v>
      </c>
      <c r="P799" s="354">
        <f>0+[1]táj.2!P799</f>
        <v>0</v>
      </c>
      <c r="Q799" s="336">
        <f t="shared" si="46"/>
        <v>2500</v>
      </c>
    </row>
    <row r="800" spans="1:17" ht="13.5" x14ac:dyDescent="0.2">
      <c r="A800" s="182"/>
      <c r="B800" s="182"/>
      <c r="C800" s="183"/>
      <c r="D800" s="271" t="s">
        <v>1391</v>
      </c>
      <c r="E800" s="359"/>
      <c r="F800" s="185"/>
      <c r="G800" s="360">
        <f>SUM(G757:G799)</f>
        <v>16813</v>
      </c>
      <c r="H800" s="360">
        <f t="shared" ref="H800:Q800" si="47">SUM(H757:H799)</f>
        <v>9699</v>
      </c>
      <c r="I800" s="360">
        <f t="shared" si="47"/>
        <v>163813</v>
      </c>
      <c r="J800" s="360">
        <f t="shared" si="47"/>
        <v>0</v>
      </c>
      <c r="K800" s="360">
        <f t="shared" si="47"/>
        <v>316017</v>
      </c>
      <c r="L800" s="360">
        <f t="shared" si="47"/>
        <v>0</v>
      </c>
      <c r="M800" s="360">
        <f t="shared" si="47"/>
        <v>0</v>
      </c>
      <c r="N800" s="360">
        <f t="shared" si="47"/>
        <v>250</v>
      </c>
      <c r="O800" s="360">
        <f t="shared" si="47"/>
        <v>0</v>
      </c>
      <c r="P800" s="360">
        <f t="shared" si="47"/>
        <v>0</v>
      </c>
      <c r="Q800" s="360">
        <f t="shared" si="47"/>
        <v>506592</v>
      </c>
    </row>
    <row r="801" spans="1:17" ht="12.75" x14ac:dyDescent="0.2">
      <c r="A801" s="135"/>
      <c r="B801" s="135"/>
      <c r="C801" s="135"/>
      <c r="D801" s="361" t="s">
        <v>1392</v>
      </c>
      <c r="E801" s="329"/>
      <c r="F801" s="9"/>
      <c r="G801" s="222"/>
      <c r="H801" s="222"/>
      <c r="I801" s="222"/>
      <c r="J801" s="222"/>
      <c r="K801" s="222"/>
      <c r="L801" s="222"/>
      <c r="M801" s="222"/>
      <c r="N801" s="222"/>
      <c r="O801" s="222"/>
      <c r="P801" s="222"/>
      <c r="Q801" s="222"/>
    </row>
    <row r="802" spans="1:17" ht="12.75" x14ac:dyDescent="0.2">
      <c r="A802" s="135"/>
      <c r="B802" s="135"/>
      <c r="C802" s="220" t="s">
        <v>211</v>
      </c>
      <c r="D802" s="200" t="s">
        <v>1429</v>
      </c>
      <c r="E802" s="228"/>
      <c r="F802" s="187">
        <v>222923</v>
      </c>
      <c r="G802" s="10">
        <f>0+[1]táj.2!G802</f>
        <v>0</v>
      </c>
      <c r="H802" s="10">
        <f>0+[1]táj.2!H802</f>
        <v>0</v>
      </c>
      <c r="I802" s="10">
        <f>25000+[1]táj.2!I802</f>
        <v>27000</v>
      </c>
      <c r="J802" s="10">
        <f>0+[1]táj.2!J802</f>
        <v>0</v>
      </c>
      <c r="K802" s="10">
        <f>0+[1]táj.2!K802</f>
        <v>0</v>
      </c>
      <c r="L802" s="10">
        <f>10000+[1]táj.2!L802</f>
        <v>10000</v>
      </c>
      <c r="M802" s="10">
        <f>0+[1]táj.2!M802</f>
        <v>0</v>
      </c>
      <c r="N802" s="10">
        <f>0+[1]táj.2!N802</f>
        <v>0</v>
      </c>
      <c r="O802" s="10">
        <f>0+[1]táj.2!O802</f>
        <v>0</v>
      </c>
      <c r="P802" s="10">
        <f>0+[1]táj.2!P802</f>
        <v>0</v>
      </c>
      <c r="Q802" s="10">
        <f>SUM(I802:P802)</f>
        <v>37000</v>
      </c>
    </row>
    <row r="803" spans="1:17" ht="12.75" x14ac:dyDescent="0.2">
      <c r="A803" s="135"/>
      <c r="B803" s="135"/>
      <c r="C803" s="220" t="s">
        <v>210</v>
      </c>
      <c r="D803" s="200" t="s">
        <v>1393</v>
      </c>
      <c r="E803" s="228"/>
      <c r="F803" s="187">
        <v>222924</v>
      </c>
      <c r="G803" s="10">
        <f>0+[1]táj.2!G803</f>
        <v>0</v>
      </c>
      <c r="H803" s="10">
        <f>0+[1]táj.2!H803</f>
        <v>0</v>
      </c>
      <c r="I803" s="10">
        <f>0+[1]táj.2!I803</f>
        <v>0</v>
      </c>
      <c r="J803" s="10">
        <f>0+[1]táj.2!J803</f>
        <v>0</v>
      </c>
      <c r="K803" s="10">
        <f>0+[1]táj.2!K803</f>
        <v>0</v>
      </c>
      <c r="L803" s="10">
        <f>0+[1]táj.2!L803</f>
        <v>0</v>
      </c>
      <c r="M803" s="10">
        <f>0+[1]táj.2!M803</f>
        <v>0</v>
      </c>
      <c r="N803" s="10">
        <f>4000+[1]táj.2!N803</f>
        <v>4000</v>
      </c>
      <c r="O803" s="10">
        <f>0+[1]táj.2!O803</f>
        <v>0</v>
      </c>
      <c r="P803" s="10">
        <f>0+[1]táj.2!P803</f>
        <v>0</v>
      </c>
      <c r="Q803" s="10">
        <f>SUM(I803:P803)</f>
        <v>4000</v>
      </c>
    </row>
    <row r="804" spans="1:17" ht="12.75" x14ac:dyDescent="0.2">
      <c r="A804" s="135"/>
      <c r="B804" s="135"/>
      <c r="C804" s="135"/>
      <c r="D804" s="247" t="s">
        <v>584</v>
      </c>
      <c r="E804" s="329"/>
      <c r="F804" s="9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</row>
    <row r="805" spans="1:17" ht="25.5" customHeight="1" x14ac:dyDescent="0.2">
      <c r="A805" s="135"/>
      <c r="B805" s="135"/>
      <c r="C805" s="294" t="s">
        <v>1394</v>
      </c>
      <c r="D805" s="139" t="s">
        <v>1395</v>
      </c>
      <c r="E805" s="329"/>
      <c r="F805" s="175">
        <v>222902</v>
      </c>
      <c r="G805" s="10">
        <f>0+[1]táj.2!G805</f>
        <v>0</v>
      </c>
      <c r="H805" s="10">
        <f>0+[1]táj.2!H805</f>
        <v>0</v>
      </c>
      <c r="I805" s="10">
        <f>0+[1]táj.2!I805</f>
        <v>0</v>
      </c>
      <c r="J805" s="10">
        <f>0+[1]táj.2!J805</f>
        <v>0</v>
      </c>
      <c r="K805" s="10">
        <f>0+[1]táj.2!K805</f>
        <v>0</v>
      </c>
      <c r="L805" s="10">
        <f>2743+[1]táj.2!L805</f>
        <v>2743</v>
      </c>
      <c r="M805" s="10">
        <f>0+[1]táj.2!M805</f>
        <v>0</v>
      </c>
      <c r="N805" s="10">
        <f>0+[1]táj.2!N805</f>
        <v>0</v>
      </c>
      <c r="O805" s="10">
        <f>0+[1]táj.2!O805</f>
        <v>0</v>
      </c>
      <c r="P805" s="10">
        <f>0+[1]táj.2!P805</f>
        <v>0</v>
      </c>
      <c r="Q805" s="10">
        <f>SUM(L805:P805)</f>
        <v>2743</v>
      </c>
    </row>
    <row r="806" spans="1:17" ht="12.75" x14ac:dyDescent="0.2">
      <c r="A806" s="135"/>
      <c r="B806" s="135"/>
      <c r="C806" s="294" t="s">
        <v>1394</v>
      </c>
      <c r="D806" s="200" t="s">
        <v>1396</v>
      </c>
      <c r="E806" s="228"/>
      <c r="F806" s="187">
        <v>222922</v>
      </c>
      <c r="G806" s="10">
        <f>0+[1]táj.2!G806</f>
        <v>0</v>
      </c>
      <c r="H806" s="10">
        <f>0+[1]táj.2!H806</f>
        <v>0</v>
      </c>
      <c r="I806" s="10">
        <f>0+[1]táj.2!I806</f>
        <v>0</v>
      </c>
      <c r="J806" s="10">
        <f>0+[1]táj.2!J806</f>
        <v>0</v>
      </c>
      <c r="K806" s="10">
        <f>0+[1]táj.2!K806</f>
        <v>0</v>
      </c>
      <c r="L806" s="10">
        <f>3000+[1]táj.2!L806</f>
        <v>3000</v>
      </c>
      <c r="M806" s="10">
        <f>0+[1]táj.2!M806</f>
        <v>0</v>
      </c>
      <c r="N806" s="10">
        <f>0+[1]táj.2!N806</f>
        <v>0</v>
      </c>
      <c r="O806" s="10">
        <f>0+[1]táj.2!O806</f>
        <v>0</v>
      </c>
      <c r="P806" s="10">
        <f>0+[1]táj.2!P806</f>
        <v>0</v>
      </c>
      <c r="Q806" s="10">
        <f>SUM(L806:P806)</f>
        <v>3000</v>
      </c>
    </row>
    <row r="807" spans="1:17" ht="12.75" x14ac:dyDescent="0.2">
      <c r="A807" s="135"/>
      <c r="B807" s="135"/>
      <c r="C807" s="294" t="s">
        <v>1394</v>
      </c>
      <c r="D807" s="362" t="s">
        <v>1397</v>
      </c>
      <c r="E807" s="279"/>
      <c r="F807" s="363">
        <v>222904</v>
      </c>
      <c r="G807" s="10">
        <f>0+[1]táj.2!G807</f>
        <v>0</v>
      </c>
      <c r="H807" s="10">
        <f>0+[1]táj.2!H807</f>
        <v>0</v>
      </c>
      <c r="I807" s="10">
        <f>0+[1]táj.2!I807</f>
        <v>0</v>
      </c>
      <c r="J807" s="10">
        <f>0+[1]táj.2!J807</f>
        <v>0</v>
      </c>
      <c r="K807" s="10">
        <f>0+[1]táj.2!K807</f>
        <v>0</v>
      </c>
      <c r="L807" s="10">
        <f>0+[1]táj.2!L807</f>
        <v>0</v>
      </c>
      <c r="M807" s="10">
        <f>0+[1]táj.2!M807</f>
        <v>0</v>
      </c>
      <c r="N807" s="10">
        <f>2100+[1]táj.2!N807</f>
        <v>2100</v>
      </c>
      <c r="O807" s="10">
        <f>0+[1]táj.2!O807</f>
        <v>0</v>
      </c>
      <c r="P807" s="10">
        <f>0+[1]táj.2!P807</f>
        <v>0</v>
      </c>
      <c r="Q807" s="10">
        <f>SUM(G807:P807)</f>
        <v>2100</v>
      </c>
    </row>
    <row r="808" spans="1:17" ht="13.5" x14ac:dyDescent="0.2">
      <c r="A808" s="182"/>
      <c r="B808" s="182"/>
      <c r="C808" s="183"/>
      <c r="D808" s="147" t="s">
        <v>1398</v>
      </c>
      <c r="E808" s="359"/>
      <c r="F808" s="185"/>
      <c r="G808" s="360">
        <f>SUM(G800:G807)</f>
        <v>16813</v>
      </c>
      <c r="H808" s="360">
        <f t="shared" ref="H808:Q808" si="48">SUM(H800:H807)</f>
        <v>9699</v>
      </c>
      <c r="I808" s="360">
        <f t="shared" si="48"/>
        <v>190813</v>
      </c>
      <c r="J808" s="360">
        <f t="shared" si="48"/>
        <v>0</v>
      </c>
      <c r="K808" s="360">
        <f t="shared" si="48"/>
        <v>316017</v>
      </c>
      <c r="L808" s="360">
        <f t="shared" si="48"/>
        <v>15743</v>
      </c>
      <c r="M808" s="360">
        <f t="shared" si="48"/>
        <v>0</v>
      </c>
      <c r="N808" s="360">
        <f t="shared" si="48"/>
        <v>6350</v>
      </c>
      <c r="O808" s="360">
        <f t="shared" si="48"/>
        <v>0</v>
      </c>
      <c r="P808" s="360">
        <f t="shared" si="48"/>
        <v>0</v>
      </c>
      <c r="Q808" s="360">
        <f t="shared" si="48"/>
        <v>555435</v>
      </c>
    </row>
    <row r="809" spans="1:17" ht="13.5" x14ac:dyDescent="0.2">
      <c r="A809" s="135">
        <v>1</v>
      </c>
      <c r="B809" s="135">
        <v>30</v>
      </c>
      <c r="C809" s="220"/>
      <c r="D809" s="241" t="s">
        <v>1399</v>
      </c>
      <c r="E809" s="187"/>
      <c r="F809" s="187"/>
      <c r="G809" s="7"/>
      <c r="H809" s="3"/>
      <c r="I809" s="3"/>
      <c r="J809" s="3"/>
      <c r="K809" s="3"/>
      <c r="L809" s="3"/>
      <c r="M809" s="7"/>
      <c r="N809" s="7"/>
      <c r="O809" s="7"/>
      <c r="P809" s="7"/>
      <c r="Q809" s="7"/>
    </row>
    <row r="810" spans="1:17" ht="13.5" x14ac:dyDescent="0.2">
      <c r="A810" s="135"/>
      <c r="B810" s="135">
        <v>31</v>
      </c>
      <c r="C810" s="220"/>
      <c r="D810" s="241" t="s">
        <v>1400</v>
      </c>
      <c r="E810" s="7">
        <v>1</v>
      </c>
      <c r="F810" s="187">
        <v>311901</v>
      </c>
      <c r="G810" s="10">
        <f>0+[1]táj.2!G810</f>
        <v>0</v>
      </c>
      <c r="H810" s="10">
        <f>0+[1]táj.2!H810</f>
        <v>0</v>
      </c>
      <c r="I810" s="10">
        <f>0+[1]táj.2!I810</f>
        <v>0</v>
      </c>
      <c r="J810" s="10">
        <f>0+[1]táj.2!J810</f>
        <v>0</v>
      </c>
      <c r="K810" s="10">
        <f>5000+[1]táj.2!K810</f>
        <v>5000</v>
      </c>
      <c r="L810" s="10">
        <f>0+[1]táj.2!L810</f>
        <v>0</v>
      </c>
      <c r="M810" s="10">
        <f>0+[1]táj.2!M810</f>
        <v>0</v>
      </c>
      <c r="N810" s="10">
        <f>0+[1]táj.2!N810</f>
        <v>0</v>
      </c>
      <c r="O810" s="10">
        <f>0+[1]táj.2!O810</f>
        <v>0</v>
      </c>
      <c r="P810" s="10">
        <f>0+[1]táj.2!P810</f>
        <v>0</v>
      </c>
      <c r="Q810" s="7">
        <f>SUM(K810:P810)</f>
        <v>5000</v>
      </c>
    </row>
    <row r="811" spans="1:17" ht="13.5" x14ac:dyDescent="0.2">
      <c r="A811" s="162"/>
      <c r="B811" s="162">
        <v>32</v>
      </c>
      <c r="C811" s="178"/>
      <c r="D811" s="241" t="s">
        <v>1401</v>
      </c>
      <c r="E811" s="7"/>
      <c r="F811" s="187"/>
      <c r="G811" s="10"/>
      <c r="H811" s="3"/>
      <c r="I811" s="3"/>
      <c r="J811" s="3"/>
      <c r="K811" s="3"/>
      <c r="L811" s="3"/>
      <c r="M811" s="10"/>
      <c r="N811" s="10"/>
      <c r="O811" s="7"/>
      <c r="P811" s="7"/>
      <c r="Q811" s="7"/>
    </row>
    <row r="812" spans="1:17" ht="12.75" x14ac:dyDescent="0.2">
      <c r="A812" s="162"/>
      <c r="B812" s="162"/>
      <c r="C812" s="178"/>
      <c r="D812" s="247" t="s">
        <v>88</v>
      </c>
      <c r="E812" s="7">
        <v>1</v>
      </c>
      <c r="F812" s="7">
        <v>321907</v>
      </c>
      <c r="G812" s="10">
        <f>0+[1]táj.2!G812</f>
        <v>0</v>
      </c>
      <c r="H812" s="10">
        <f>0+[1]táj.2!H812</f>
        <v>0</v>
      </c>
      <c r="I812" s="10">
        <f>0+[1]táj.2!I812</f>
        <v>0</v>
      </c>
      <c r="J812" s="10">
        <f>0+[1]táj.2!J812</f>
        <v>0</v>
      </c>
      <c r="K812" s="10">
        <f>35000+[1]táj.2!K812</f>
        <v>35000</v>
      </c>
      <c r="L812" s="10">
        <f>0+[1]táj.2!L812</f>
        <v>0</v>
      </c>
      <c r="M812" s="10">
        <f>0+[1]táj.2!M812</f>
        <v>0</v>
      </c>
      <c r="N812" s="10">
        <f>0+[1]táj.2!N812</f>
        <v>0</v>
      </c>
      <c r="O812" s="10">
        <f>0+[1]táj.2!O812</f>
        <v>0</v>
      </c>
      <c r="P812" s="10">
        <f>0+[1]táj.2!P812</f>
        <v>0</v>
      </c>
      <c r="Q812" s="7">
        <f t="shared" ref="Q812:Q818" si="49">SUM(K812:P812)</f>
        <v>35000</v>
      </c>
    </row>
    <row r="813" spans="1:17" ht="12.75" x14ac:dyDescent="0.2">
      <c r="A813" s="364"/>
      <c r="B813" s="364"/>
      <c r="C813" s="364"/>
      <c r="D813" s="365" t="s">
        <v>1402</v>
      </c>
      <c r="E813" s="366">
        <v>1</v>
      </c>
      <c r="F813" s="367">
        <v>321903</v>
      </c>
      <c r="G813" s="10">
        <f>0+[1]táj.2!G813</f>
        <v>0</v>
      </c>
      <c r="H813" s="10">
        <f>0+[1]táj.2!H813</f>
        <v>0</v>
      </c>
      <c r="I813" s="10">
        <f>0+[1]táj.2!I813</f>
        <v>0</v>
      </c>
      <c r="J813" s="10">
        <f>0+[1]táj.2!J813</f>
        <v>0</v>
      </c>
      <c r="K813" s="10">
        <f>15000+[1]táj.2!K813</f>
        <v>149569</v>
      </c>
      <c r="L813" s="10">
        <f>0+[1]táj.2!L813</f>
        <v>0</v>
      </c>
      <c r="M813" s="10">
        <f>0+[1]táj.2!M813</f>
        <v>0</v>
      </c>
      <c r="N813" s="10">
        <f>0+[1]táj.2!N813</f>
        <v>0</v>
      </c>
      <c r="O813" s="10">
        <f>0+[1]táj.2!O813</f>
        <v>0</v>
      </c>
      <c r="P813" s="10">
        <f>0+[1]táj.2!P813</f>
        <v>0</v>
      </c>
      <c r="Q813" s="7">
        <f t="shared" si="49"/>
        <v>149569</v>
      </c>
    </row>
    <row r="814" spans="1:17" ht="12.75" x14ac:dyDescent="0.2">
      <c r="A814" s="162"/>
      <c r="B814" s="162"/>
      <c r="C814" s="178"/>
      <c r="D814" s="247" t="s">
        <v>1403</v>
      </c>
      <c r="E814" s="171">
        <v>1</v>
      </c>
      <c r="F814" s="7">
        <v>321908</v>
      </c>
      <c r="G814" s="10">
        <f>0+[1]táj.2!G814</f>
        <v>0</v>
      </c>
      <c r="H814" s="10">
        <f>0+[1]táj.2!H814</f>
        <v>0</v>
      </c>
      <c r="I814" s="10">
        <f>0+[1]táj.2!I814</f>
        <v>0</v>
      </c>
      <c r="J814" s="10">
        <f>0+[1]táj.2!J814</f>
        <v>0</v>
      </c>
      <c r="K814" s="10">
        <f>12000+[1]táj.2!K814</f>
        <v>11554</v>
      </c>
      <c r="L814" s="10">
        <f>0+[1]táj.2!L814</f>
        <v>0</v>
      </c>
      <c r="M814" s="10">
        <f>0+[1]táj.2!M814</f>
        <v>0</v>
      </c>
      <c r="N814" s="10">
        <f>0+[1]táj.2!N814</f>
        <v>0</v>
      </c>
      <c r="O814" s="10">
        <f>0+[1]táj.2!O814</f>
        <v>0</v>
      </c>
      <c r="P814" s="10">
        <f>0+[1]táj.2!P814</f>
        <v>0</v>
      </c>
      <c r="Q814" s="7">
        <f t="shared" si="49"/>
        <v>11554</v>
      </c>
    </row>
    <row r="815" spans="1:17" ht="25.5" x14ac:dyDescent="0.2">
      <c r="A815" s="162"/>
      <c r="B815" s="162"/>
      <c r="C815" s="178"/>
      <c r="D815" s="322" t="s">
        <v>1404</v>
      </c>
      <c r="E815" s="196">
        <v>1</v>
      </c>
      <c r="F815" s="25">
        <v>321933</v>
      </c>
      <c r="G815" s="10">
        <f>0+[1]táj.2!G815</f>
        <v>0</v>
      </c>
      <c r="H815" s="10">
        <f>0+[1]táj.2!H815</f>
        <v>0</v>
      </c>
      <c r="I815" s="10">
        <f>0+[1]táj.2!I815</f>
        <v>0</v>
      </c>
      <c r="J815" s="10">
        <f>0+[1]táj.2!J815</f>
        <v>0</v>
      </c>
      <c r="K815" s="10">
        <f>211174+[1]táj.2!K815</f>
        <v>223444</v>
      </c>
      <c r="L815" s="10">
        <f>0+[1]táj.2!L815</f>
        <v>0</v>
      </c>
      <c r="M815" s="10">
        <f>0+[1]táj.2!M815</f>
        <v>0</v>
      </c>
      <c r="N815" s="10">
        <f>0+[1]táj.2!N815</f>
        <v>0</v>
      </c>
      <c r="O815" s="10">
        <f>0+[1]táj.2!O815</f>
        <v>0</v>
      </c>
      <c r="P815" s="10">
        <f>0+[1]táj.2!P815</f>
        <v>0</v>
      </c>
      <c r="Q815" s="7">
        <f t="shared" si="49"/>
        <v>223444</v>
      </c>
    </row>
    <row r="816" spans="1:17" ht="12.75" x14ac:dyDescent="0.2">
      <c r="A816" s="162"/>
      <c r="B816" s="162"/>
      <c r="C816" s="178"/>
      <c r="D816" s="368" t="s">
        <v>1405</v>
      </c>
      <c r="E816" s="196">
        <v>1</v>
      </c>
      <c r="F816" s="25">
        <v>321934</v>
      </c>
      <c r="G816" s="10">
        <f>0+[1]táj.2!G816</f>
        <v>0</v>
      </c>
      <c r="H816" s="10">
        <f>0+[1]táj.2!H816</f>
        <v>0</v>
      </c>
      <c r="I816" s="10">
        <f>0+[1]táj.2!I816</f>
        <v>0</v>
      </c>
      <c r="J816" s="10">
        <f>0+[1]táj.2!J816</f>
        <v>0</v>
      </c>
      <c r="K816" s="10">
        <f>1771+[1]táj.2!K816</f>
        <v>1771</v>
      </c>
      <c r="L816" s="10">
        <f>0+[1]táj.2!L816</f>
        <v>0</v>
      </c>
      <c r="M816" s="10">
        <f>0+[1]táj.2!M816</f>
        <v>0</v>
      </c>
      <c r="N816" s="10">
        <f>0+[1]táj.2!N816</f>
        <v>0</v>
      </c>
      <c r="O816" s="10">
        <f>0+[1]táj.2!O816</f>
        <v>0</v>
      </c>
      <c r="P816" s="10">
        <f>0+[1]táj.2!P816</f>
        <v>0</v>
      </c>
      <c r="Q816" s="7">
        <f t="shared" si="49"/>
        <v>1771</v>
      </c>
    </row>
    <row r="817" spans="1:17" ht="12.75" x14ac:dyDescent="0.2">
      <c r="A817" s="162"/>
      <c r="B817" s="162"/>
      <c r="C817" s="178"/>
      <c r="D817" s="139" t="s">
        <v>1406</v>
      </c>
      <c r="E817" s="196">
        <v>1</v>
      </c>
      <c r="F817" s="25">
        <v>321911</v>
      </c>
      <c r="G817" s="10">
        <f>0+[1]táj.2!G817</f>
        <v>0</v>
      </c>
      <c r="H817" s="10">
        <f>0+[1]táj.2!H817</f>
        <v>0</v>
      </c>
      <c r="I817" s="10">
        <f>0+[1]táj.2!I817</f>
        <v>0</v>
      </c>
      <c r="J817" s="10">
        <f>0+[1]táj.2!J817</f>
        <v>0</v>
      </c>
      <c r="K817" s="10">
        <f>48000+[1]táj.2!K817</f>
        <v>531802</v>
      </c>
      <c r="L817" s="10">
        <f>0+[1]táj.2!L817</f>
        <v>0</v>
      </c>
      <c r="M817" s="10">
        <f>0+[1]táj.2!M817</f>
        <v>0</v>
      </c>
      <c r="N817" s="10">
        <f>0+[1]táj.2!N817</f>
        <v>0</v>
      </c>
      <c r="O817" s="10">
        <f>0+[1]táj.2!O817</f>
        <v>0</v>
      </c>
      <c r="P817" s="10">
        <f>0+[1]táj.2!P817</f>
        <v>0</v>
      </c>
      <c r="Q817" s="7">
        <f t="shared" si="49"/>
        <v>531802</v>
      </c>
    </row>
    <row r="818" spans="1:17" ht="12.75" x14ac:dyDescent="0.2">
      <c r="A818" s="162"/>
      <c r="B818" s="162"/>
      <c r="C818" s="178"/>
      <c r="D818" s="141" t="s">
        <v>1407</v>
      </c>
      <c r="E818" s="196">
        <v>1</v>
      </c>
      <c r="F818" s="25">
        <v>321909</v>
      </c>
      <c r="G818" s="10">
        <f>0+[1]táj.2!G818</f>
        <v>0</v>
      </c>
      <c r="H818" s="10">
        <f>0+[1]táj.2!H818</f>
        <v>0</v>
      </c>
      <c r="I818" s="10">
        <f>0+[1]táj.2!I818</f>
        <v>0</v>
      </c>
      <c r="J818" s="10">
        <f>0+[1]táj.2!J818</f>
        <v>0</v>
      </c>
      <c r="K818" s="10">
        <f>45000+[1]táj.2!K818</f>
        <v>45000</v>
      </c>
      <c r="L818" s="10">
        <f>0+[1]táj.2!L818</f>
        <v>0</v>
      </c>
      <c r="M818" s="10">
        <f>0+[1]táj.2!M818</f>
        <v>0</v>
      </c>
      <c r="N818" s="10">
        <f>0+[1]táj.2!N818</f>
        <v>0</v>
      </c>
      <c r="O818" s="10">
        <f>0+[1]táj.2!O818</f>
        <v>0</v>
      </c>
      <c r="P818" s="10">
        <f>0+[1]táj.2!P818</f>
        <v>0</v>
      </c>
      <c r="Q818" s="7">
        <f t="shared" si="49"/>
        <v>45000</v>
      </c>
    </row>
    <row r="819" spans="1:17" ht="12.75" x14ac:dyDescent="0.2">
      <c r="A819" s="162"/>
      <c r="B819" s="162"/>
      <c r="C819" s="178"/>
      <c r="D819" s="251" t="s">
        <v>1408</v>
      </c>
      <c r="E819" s="7"/>
      <c r="F819" s="7"/>
      <c r="G819" s="10"/>
      <c r="H819" s="3"/>
      <c r="I819" s="3"/>
      <c r="J819" s="3"/>
      <c r="K819" s="3"/>
      <c r="L819" s="3"/>
      <c r="M819" s="7"/>
      <c r="N819" s="7"/>
      <c r="O819" s="7"/>
      <c r="P819" s="7"/>
      <c r="Q819" s="7"/>
    </row>
    <row r="820" spans="1:17" ht="12.75" x14ac:dyDescent="0.2">
      <c r="A820" s="162"/>
      <c r="B820" s="162"/>
      <c r="C820" s="178" t="s">
        <v>211</v>
      </c>
      <c r="D820" s="369" t="s">
        <v>1409</v>
      </c>
      <c r="E820" s="7">
        <v>1</v>
      </c>
      <c r="F820" s="7">
        <v>324902</v>
      </c>
      <c r="G820" s="10">
        <f>0+[1]táj.2!G820</f>
        <v>0</v>
      </c>
      <c r="H820" s="10">
        <f>0+[1]táj.2!H820</f>
        <v>0</v>
      </c>
      <c r="I820" s="10">
        <f>0+[1]táj.2!I820</f>
        <v>0</v>
      </c>
      <c r="J820" s="10">
        <f>0+[1]táj.2!J820</f>
        <v>0</v>
      </c>
      <c r="K820" s="10">
        <f>0+[1]táj.2!K820</f>
        <v>0</v>
      </c>
      <c r="L820" s="10">
        <f>0+[1]táj.2!L820</f>
        <v>0</v>
      </c>
      <c r="M820" s="10">
        <f>6701+[1]táj.2!M820</f>
        <v>3766</v>
      </c>
      <c r="N820" s="10">
        <f>0+[1]táj.2!N820</f>
        <v>0</v>
      </c>
      <c r="O820" s="10">
        <f>0+[1]táj.2!O820</f>
        <v>0</v>
      </c>
      <c r="P820" s="10">
        <f>0+[1]táj.2!P820</f>
        <v>0</v>
      </c>
      <c r="Q820" s="7">
        <f>SUM(K820:P820)</f>
        <v>3766</v>
      </c>
    </row>
    <row r="821" spans="1:17" ht="25.5" x14ac:dyDescent="0.2">
      <c r="A821" s="162"/>
      <c r="B821" s="162"/>
      <c r="C821" s="178" t="s">
        <v>210</v>
      </c>
      <c r="D821" s="370" t="s">
        <v>1410</v>
      </c>
      <c r="E821" s="7">
        <v>1</v>
      </c>
      <c r="F821" s="187">
        <v>322904</v>
      </c>
      <c r="G821" s="10">
        <f>0+[1]táj.2!G821</f>
        <v>0</v>
      </c>
      <c r="H821" s="10">
        <f>0+[1]táj.2!H821</f>
        <v>0</v>
      </c>
      <c r="I821" s="10">
        <f>0+[1]táj.2!I821</f>
        <v>0</v>
      </c>
      <c r="J821" s="10">
        <f>0+[1]táj.2!J821</f>
        <v>0</v>
      </c>
      <c r="K821" s="10">
        <f>0+[1]táj.2!K821</f>
        <v>0</v>
      </c>
      <c r="L821" s="10">
        <f>10420+[1]táj.2!L821</f>
        <v>10420</v>
      </c>
      <c r="M821" s="10">
        <f>0+[1]táj.2!M821</f>
        <v>0</v>
      </c>
      <c r="N821" s="10">
        <f>0+[1]táj.2!N821</f>
        <v>0</v>
      </c>
      <c r="O821" s="10">
        <f>0+[1]táj.2!O821</f>
        <v>0</v>
      </c>
      <c r="P821" s="10">
        <f>0+[1]táj.2!P821</f>
        <v>0</v>
      </c>
      <c r="Q821" s="7">
        <f>SUM(K821:P821)</f>
        <v>10420</v>
      </c>
    </row>
    <row r="822" spans="1:17" ht="13.5" x14ac:dyDescent="0.2">
      <c r="A822" s="182"/>
      <c r="B822" s="182"/>
      <c r="C822" s="183"/>
      <c r="D822" s="147" t="s">
        <v>1411</v>
      </c>
      <c r="E822" s="185"/>
      <c r="F822" s="371"/>
      <c r="G822" s="5">
        <f>SUM(G810:G821)</f>
        <v>0</v>
      </c>
      <c r="H822" s="5">
        <f t="shared" ref="H822:Q822" si="50">SUM(H810:H821)</f>
        <v>0</v>
      </c>
      <c r="I822" s="5">
        <f t="shared" si="50"/>
        <v>0</v>
      </c>
      <c r="J822" s="5">
        <f t="shared" si="50"/>
        <v>0</v>
      </c>
      <c r="K822" s="5">
        <f t="shared" si="50"/>
        <v>1003140</v>
      </c>
      <c r="L822" s="5">
        <f t="shared" si="50"/>
        <v>10420</v>
      </c>
      <c r="M822" s="5">
        <f t="shared" si="50"/>
        <v>3766</v>
      </c>
      <c r="N822" s="5">
        <f t="shared" si="50"/>
        <v>0</v>
      </c>
      <c r="O822" s="5">
        <f t="shared" si="50"/>
        <v>0</v>
      </c>
      <c r="P822" s="5">
        <f t="shared" si="50"/>
        <v>0</v>
      </c>
      <c r="Q822" s="5">
        <f t="shared" si="50"/>
        <v>1017326</v>
      </c>
    </row>
    <row r="823" spans="1:17" ht="27" x14ac:dyDescent="0.2">
      <c r="A823" s="182"/>
      <c r="B823" s="182"/>
      <c r="C823" s="183"/>
      <c r="D823" s="148" t="s">
        <v>1412</v>
      </c>
      <c r="E823" s="372"/>
      <c r="F823" s="373"/>
      <c r="G823" s="374">
        <f>SUM(G45+G220+G232+G474+G667+G692+G716+G751+G808+G822+G754)</f>
        <v>232164</v>
      </c>
      <c r="H823" s="374">
        <f t="shared" ref="H823:Q823" si="51">SUM(H45+H220+H232+H474+H667+H692+H716+H751+H808+H822+H754)</f>
        <v>57148</v>
      </c>
      <c r="I823" s="374">
        <f t="shared" si="51"/>
        <v>8947093</v>
      </c>
      <c r="J823" s="374">
        <f t="shared" si="51"/>
        <v>95450</v>
      </c>
      <c r="K823" s="374">
        <f t="shared" si="51"/>
        <v>3273732</v>
      </c>
      <c r="L823" s="374">
        <f t="shared" si="51"/>
        <v>27095844</v>
      </c>
      <c r="M823" s="374">
        <f t="shared" si="51"/>
        <v>5254693</v>
      </c>
      <c r="N823" s="374">
        <f t="shared" si="51"/>
        <v>97450</v>
      </c>
      <c r="O823" s="374">
        <f t="shared" si="51"/>
        <v>104052</v>
      </c>
      <c r="P823" s="374">
        <f t="shared" si="51"/>
        <v>12113612</v>
      </c>
      <c r="Q823" s="374">
        <f t="shared" si="51"/>
        <v>57271238</v>
      </c>
    </row>
    <row r="824" spans="1:17" ht="12.75" x14ac:dyDescent="0.2">
      <c r="A824" s="162"/>
      <c r="B824" s="162"/>
      <c r="C824" s="162"/>
      <c r="D824" s="375" t="s">
        <v>314</v>
      </c>
      <c r="E824" s="187"/>
      <c r="F824" s="376"/>
      <c r="G824" s="377">
        <f>'[1]8'!E21</f>
        <v>4322510</v>
      </c>
      <c r="H824" s="377">
        <f>'[1]8'!F21</f>
        <v>817839</v>
      </c>
      <c r="I824" s="377">
        <f>'[1]8'!G21</f>
        <v>2518077</v>
      </c>
      <c r="J824" s="377">
        <f>'[1]8'!H21</f>
        <v>5188</v>
      </c>
      <c r="K824" s="377">
        <f>'[1]8'!I21</f>
        <v>190227</v>
      </c>
      <c r="L824" s="377">
        <f>'[1]8'!J21</f>
        <v>174716</v>
      </c>
      <c r="M824" s="377">
        <f>'[1]8'!K21</f>
        <v>52926</v>
      </c>
      <c r="N824" s="377">
        <f>'[1]8'!L21</f>
        <v>0</v>
      </c>
      <c r="O824" s="377"/>
      <c r="P824" s="377"/>
      <c r="Q824" s="377">
        <f>SUM(G824:P824)</f>
        <v>8081483</v>
      </c>
    </row>
    <row r="825" spans="1:17" ht="13.5" x14ac:dyDescent="0.2">
      <c r="A825" s="182"/>
      <c r="B825" s="182"/>
      <c r="C825" s="183"/>
      <c r="D825" s="147" t="s">
        <v>304</v>
      </c>
      <c r="E825" s="300"/>
      <c r="F825" s="378"/>
      <c r="G825" s="27">
        <f>SUM(G823:G824)</f>
        <v>4554674</v>
      </c>
      <c r="H825" s="27">
        <f t="shared" ref="H825:Q825" si="52">SUM(H823:H824)</f>
        <v>874987</v>
      </c>
      <c r="I825" s="27">
        <f t="shared" si="52"/>
        <v>11465170</v>
      </c>
      <c r="J825" s="27">
        <f t="shared" si="52"/>
        <v>100638</v>
      </c>
      <c r="K825" s="27">
        <f t="shared" si="52"/>
        <v>3463959</v>
      </c>
      <c r="L825" s="27">
        <f t="shared" si="52"/>
        <v>27270560</v>
      </c>
      <c r="M825" s="27">
        <f t="shared" si="52"/>
        <v>5307619</v>
      </c>
      <c r="N825" s="27">
        <f t="shared" si="52"/>
        <v>97450</v>
      </c>
      <c r="O825" s="27">
        <f t="shared" si="52"/>
        <v>104052</v>
      </c>
      <c r="P825" s="27">
        <f t="shared" si="52"/>
        <v>12113612</v>
      </c>
      <c r="Q825" s="27">
        <f t="shared" si="52"/>
        <v>65352721</v>
      </c>
    </row>
    <row r="827" spans="1:17" x14ac:dyDescent="0.2">
      <c r="N827" s="765"/>
      <c r="O827" s="765"/>
      <c r="P827" s="765"/>
      <c r="Q827" s="379"/>
    </row>
  </sheetData>
  <sheetProtection selectLockedCells="1" selectUnlockedCells="1"/>
  <mergeCells count="10">
    <mergeCell ref="N827:P827"/>
    <mergeCell ref="Q1:Q2"/>
    <mergeCell ref="E1:E2"/>
    <mergeCell ref="F1:F2"/>
    <mergeCell ref="A1:A2"/>
    <mergeCell ref="B1:B2"/>
    <mergeCell ref="C1:C2"/>
    <mergeCell ref="D1:D2"/>
    <mergeCell ref="G1:N1"/>
    <mergeCell ref="O1:P1"/>
  </mergeCells>
  <phoneticPr fontId="99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9"/>
  <sheetViews>
    <sheetView workbookViewId="0">
      <pane ySplit="2" topLeftCell="A3" activePane="bottomLeft" state="frozen"/>
      <selection pane="bottomLeft" activeCell="E24" sqref="E24"/>
    </sheetView>
  </sheetViews>
  <sheetFormatPr defaultRowHeight="12.75" x14ac:dyDescent="0.2"/>
  <cols>
    <col min="1" max="1" width="3.33203125" style="61" customWidth="1"/>
    <col min="2" max="2" width="39.6640625" style="61" customWidth="1"/>
    <col min="3" max="3" width="11.6640625" style="61" customWidth="1"/>
    <col min="4" max="4" width="12" style="61" customWidth="1"/>
    <col min="5" max="6" width="12.33203125" style="61" customWidth="1"/>
    <col min="7" max="7" width="7.6640625" style="61" customWidth="1"/>
    <col min="8" max="8" width="10.33203125" style="61" customWidth="1"/>
    <col min="9" max="9" width="12" style="61" customWidth="1"/>
    <col min="10" max="11" width="12.33203125" style="61" customWidth="1"/>
    <col min="12" max="12" width="12.83203125" style="61" customWidth="1"/>
    <col min="13" max="13" width="14.83203125" style="61" customWidth="1"/>
    <col min="14" max="14" width="12" style="61" customWidth="1"/>
    <col min="15" max="15" width="11.5" style="61" customWidth="1"/>
    <col min="16" max="16384" width="9.33203125" style="61"/>
  </cols>
  <sheetData>
    <row r="1" spans="1:15" ht="12.75" customHeight="1" x14ac:dyDescent="0.2">
      <c r="A1" s="755" t="s">
        <v>208</v>
      </c>
      <c r="B1" s="756" t="s">
        <v>253</v>
      </c>
      <c r="C1" s="782" t="s">
        <v>414</v>
      </c>
      <c r="D1" s="782" t="s">
        <v>43</v>
      </c>
      <c r="E1" s="781" t="s">
        <v>260</v>
      </c>
      <c r="F1" s="781"/>
      <c r="G1" s="781"/>
      <c r="H1" s="781"/>
      <c r="I1" s="781"/>
      <c r="J1" s="781"/>
      <c r="K1" s="781"/>
      <c r="L1" s="781" t="s">
        <v>331</v>
      </c>
      <c r="M1" s="781"/>
      <c r="N1" s="781"/>
      <c r="O1" s="779" t="s">
        <v>333</v>
      </c>
    </row>
    <row r="2" spans="1:15" s="62" customFormat="1" ht="78" customHeight="1" x14ac:dyDescent="0.2">
      <c r="A2" s="755"/>
      <c r="B2" s="756"/>
      <c r="C2" s="783"/>
      <c r="D2" s="783"/>
      <c r="E2" s="64" t="s">
        <v>141</v>
      </c>
      <c r="F2" s="64" t="s">
        <v>142</v>
      </c>
      <c r="G2" s="727" t="s">
        <v>143</v>
      </c>
      <c r="H2" s="64" t="s">
        <v>327</v>
      </c>
      <c r="I2" s="727" t="s">
        <v>328</v>
      </c>
      <c r="J2" s="727" t="s">
        <v>329</v>
      </c>
      <c r="K2" s="727" t="s">
        <v>330</v>
      </c>
      <c r="L2" s="727" t="s">
        <v>262</v>
      </c>
      <c r="M2" s="727" t="s">
        <v>214</v>
      </c>
      <c r="N2" s="727" t="s">
        <v>264</v>
      </c>
      <c r="O2" s="780"/>
    </row>
    <row r="3" spans="1:15" ht="17.100000000000001" customHeight="1" x14ac:dyDescent="0.2">
      <c r="A3" s="736" t="s">
        <v>210</v>
      </c>
      <c r="B3" s="498" t="s">
        <v>255</v>
      </c>
      <c r="C3" s="737">
        <v>1665275</v>
      </c>
      <c r="D3" s="737">
        <f>46+[1]táj.3!M3</f>
        <v>41959</v>
      </c>
      <c r="E3" s="65">
        <f>0+[1]táj.3!C3</f>
        <v>3705</v>
      </c>
      <c r="F3" s="65">
        <f>0+[1]táj.3!D3</f>
        <v>0</v>
      </c>
      <c r="G3" s="65">
        <f>0+[1]táj.3!E3</f>
        <v>0</v>
      </c>
      <c r="H3" s="65">
        <f>19500+[1]táj.3!F3</f>
        <v>19946</v>
      </c>
      <c r="I3" s="65">
        <f>0+[1]táj.3!G3</f>
        <v>51</v>
      </c>
      <c r="J3" s="65">
        <f>0+[1]táj.3!H3</f>
        <v>0</v>
      </c>
      <c r="K3" s="65">
        <f>0+[1]táj.3!I3</f>
        <v>0</v>
      </c>
      <c r="L3" s="65">
        <f>47667+[1]táj.3!J3</f>
        <v>84221</v>
      </c>
      <c r="M3" s="65">
        <f>1598154+[1]táj.3!K3</f>
        <v>1599311</v>
      </c>
      <c r="N3" s="65">
        <f>0+[1]táj.3!L3</f>
        <v>0</v>
      </c>
      <c r="O3" s="65">
        <f t="shared" ref="O3:O20" si="0">SUM(E3:N3)</f>
        <v>1707234</v>
      </c>
    </row>
    <row r="4" spans="1:15" ht="17.100000000000001" customHeight="1" x14ac:dyDescent="0.2">
      <c r="A4" s="736" t="s">
        <v>212</v>
      </c>
      <c r="B4" s="498" t="s">
        <v>248</v>
      </c>
      <c r="C4" s="737">
        <v>1001336</v>
      </c>
      <c r="D4" s="737">
        <f>139+[1]táj.3!M4</f>
        <v>-10887</v>
      </c>
      <c r="E4" s="65">
        <f>0+[1]táj.3!C4</f>
        <v>4360</v>
      </c>
      <c r="F4" s="65">
        <f>0+[1]táj.3!D4</f>
        <v>0</v>
      </c>
      <c r="G4" s="65">
        <f>0+[1]táj.3!E4</f>
        <v>0</v>
      </c>
      <c r="H4" s="65">
        <f>470893+[1]táj.3!F4</f>
        <v>470893</v>
      </c>
      <c r="I4" s="65">
        <f>0+[1]táj.3!G4</f>
        <v>0</v>
      </c>
      <c r="J4" s="65">
        <f>0+[1]táj.3!H4</f>
        <v>0</v>
      </c>
      <c r="K4" s="65">
        <f>0+[1]táj.3!I4</f>
        <v>0</v>
      </c>
      <c r="L4" s="65">
        <f>0+[1]táj.3!J4</f>
        <v>72932</v>
      </c>
      <c r="M4" s="65">
        <f>530582+[1]táj.3!K4</f>
        <v>442264</v>
      </c>
      <c r="N4" s="65">
        <f>0+[1]táj.3!L4</f>
        <v>0</v>
      </c>
      <c r="O4" s="65">
        <f t="shared" si="0"/>
        <v>990449</v>
      </c>
    </row>
    <row r="5" spans="1:15" ht="17.100000000000001" customHeight="1" x14ac:dyDescent="0.2">
      <c r="A5" s="736" t="s">
        <v>213</v>
      </c>
      <c r="B5" s="498" t="s">
        <v>281</v>
      </c>
      <c r="C5" s="737">
        <v>623845</v>
      </c>
      <c r="D5" s="737">
        <f>2935+[1]táj.3!M5</f>
        <v>1055</v>
      </c>
      <c r="E5" s="65">
        <f>0+[1]táj.3!C5</f>
        <v>1310</v>
      </c>
      <c r="F5" s="65">
        <f>0+[1]táj.3!D5</f>
        <v>1800</v>
      </c>
      <c r="G5" s="65">
        <f>0+[1]táj.3!E5</f>
        <v>0</v>
      </c>
      <c r="H5" s="65">
        <f>64996+[1]táj.3!F5</f>
        <v>64996</v>
      </c>
      <c r="I5" s="65">
        <f>0+[1]táj.3!G5</f>
        <v>0</v>
      </c>
      <c r="J5" s="65">
        <f>0+[1]táj.3!H5</f>
        <v>0</v>
      </c>
      <c r="K5" s="65">
        <f>0+[1]táj.3!I5</f>
        <v>0</v>
      </c>
      <c r="L5" s="65">
        <f>35000+[1]táj.3!J5</f>
        <v>52402</v>
      </c>
      <c r="M5" s="65">
        <f>526784+[1]táj.3!K5</f>
        <v>504392</v>
      </c>
      <c r="N5" s="65">
        <f>0+[1]táj.3!L5</f>
        <v>0</v>
      </c>
      <c r="O5" s="65">
        <f t="shared" si="0"/>
        <v>624900</v>
      </c>
    </row>
    <row r="6" spans="1:15" ht="24" customHeight="1" x14ac:dyDescent="0.2">
      <c r="A6" s="736" t="s">
        <v>201</v>
      </c>
      <c r="B6" s="499" t="s">
        <v>316</v>
      </c>
      <c r="C6" s="738">
        <v>448613</v>
      </c>
      <c r="D6" s="737">
        <f>1144+[1]táj.3!M6</f>
        <v>111456</v>
      </c>
      <c r="E6" s="65">
        <f>337397+[1]táj.3!C6</f>
        <v>398231</v>
      </c>
      <c r="F6" s="65">
        <f>0+[1]táj.3!D6</f>
        <v>240</v>
      </c>
      <c r="G6" s="65">
        <f>0+[1]táj.3!E6</f>
        <v>0</v>
      </c>
      <c r="H6" s="65">
        <f>0+[1]táj.3!F6</f>
        <v>0</v>
      </c>
      <c r="I6" s="65">
        <f>0+[1]táj.3!G6</f>
        <v>0</v>
      </c>
      <c r="J6" s="65">
        <f>0+[1]táj.3!H6</f>
        <v>0</v>
      </c>
      <c r="K6" s="65">
        <f>0+[1]táj.3!I6</f>
        <v>0</v>
      </c>
      <c r="L6" s="65">
        <f>8779+[1]táj.3!J6</f>
        <v>56471</v>
      </c>
      <c r="M6" s="65">
        <f>103581+[1]táj.3!K6</f>
        <v>105127</v>
      </c>
      <c r="N6" s="65">
        <f>0+[1]táj.3!L6</f>
        <v>0</v>
      </c>
      <c r="O6" s="65">
        <f t="shared" si="0"/>
        <v>560069</v>
      </c>
    </row>
    <row r="7" spans="1:15" ht="24" customHeight="1" x14ac:dyDescent="0.2">
      <c r="A7" s="736" t="s">
        <v>200</v>
      </c>
      <c r="B7" s="499" t="s">
        <v>317</v>
      </c>
      <c r="C7" s="738">
        <v>220399</v>
      </c>
      <c r="D7" s="737">
        <f>15142+[1]táj.3!M7</f>
        <v>42307</v>
      </c>
      <c r="E7" s="65">
        <f>0+[1]táj.3!C7</f>
        <v>1000</v>
      </c>
      <c r="F7" s="65">
        <f>0+[1]táj.3!D7</f>
        <v>0</v>
      </c>
      <c r="G7" s="65">
        <f>0+[1]táj.3!E7</f>
        <v>0</v>
      </c>
      <c r="H7" s="65">
        <f>0+[1]táj.3!F7</f>
        <v>0</v>
      </c>
      <c r="I7" s="65">
        <f>0+[1]táj.3!G7</f>
        <v>0</v>
      </c>
      <c r="J7" s="65">
        <f>0+[1]táj.3!H7</f>
        <v>0</v>
      </c>
      <c r="K7" s="65">
        <f>0+[1]táj.3!I7</f>
        <v>0</v>
      </c>
      <c r="L7" s="65">
        <f>18654+[1]táj.3!J7</f>
        <v>35682</v>
      </c>
      <c r="M7" s="65">
        <f>216887+[1]táj.3!K7</f>
        <v>226024</v>
      </c>
      <c r="N7" s="65">
        <f>0+[1]táj.3!L7</f>
        <v>0</v>
      </c>
      <c r="O7" s="65">
        <f t="shared" si="0"/>
        <v>262706</v>
      </c>
    </row>
    <row r="8" spans="1:15" ht="17.100000000000001" customHeight="1" x14ac:dyDescent="0.2">
      <c r="A8" s="736" t="s">
        <v>202</v>
      </c>
      <c r="B8" s="66" t="s">
        <v>282</v>
      </c>
      <c r="C8" s="377">
        <v>357792</v>
      </c>
      <c r="D8" s="737">
        <f>2+[1]táj.3!M8</f>
        <v>-10960</v>
      </c>
      <c r="E8" s="65">
        <f>3860+[1]táj.3!C8</f>
        <v>5657</v>
      </c>
      <c r="F8" s="65">
        <f>0+[1]táj.3!D8</f>
        <v>770</v>
      </c>
      <c r="G8" s="65">
        <f>0+[1]táj.3!E8</f>
        <v>0</v>
      </c>
      <c r="H8" s="65">
        <f>11638+[1]táj.3!F8</f>
        <v>11638</v>
      </c>
      <c r="I8" s="65">
        <f>0+[1]táj.3!G8</f>
        <v>0</v>
      </c>
      <c r="J8" s="65">
        <f>0+[1]táj.3!H8</f>
        <v>0</v>
      </c>
      <c r="K8" s="65">
        <f>0+[1]táj.3!I8</f>
        <v>0</v>
      </c>
      <c r="L8" s="65">
        <f>14000+[1]táj.3!J8</f>
        <v>17280</v>
      </c>
      <c r="M8" s="65">
        <f>328296+[1]táj.3!K8</f>
        <v>311487</v>
      </c>
      <c r="N8" s="65">
        <f>0+[1]táj.3!L8</f>
        <v>0</v>
      </c>
      <c r="O8" s="65">
        <f t="shared" si="0"/>
        <v>346832</v>
      </c>
    </row>
    <row r="9" spans="1:15" ht="17.100000000000001" customHeight="1" x14ac:dyDescent="0.2">
      <c r="A9" s="736" t="s">
        <v>203</v>
      </c>
      <c r="B9" s="66" t="s">
        <v>283</v>
      </c>
      <c r="C9" s="377">
        <v>335626</v>
      </c>
      <c r="D9" s="737">
        <f>10+[1]táj.3!M9</f>
        <v>-18246</v>
      </c>
      <c r="E9" s="65">
        <f>7885+[1]táj.3!C9</f>
        <v>9797</v>
      </c>
      <c r="F9" s="65">
        <f>0+[1]táj.3!D9</f>
        <v>0</v>
      </c>
      <c r="G9" s="65">
        <f>0+[1]táj.3!E9</f>
        <v>0</v>
      </c>
      <c r="H9" s="65">
        <f>14294+[1]táj.3!F9</f>
        <v>14294</v>
      </c>
      <c r="I9" s="65">
        <f>0+[1]táj.3!G9</f>
        <v>0</v>
      </c>
      <c r="J9" s="65">
        <f>0+[1]táj.3!H9</f>
        <v>0</v>
      </c>
      <c r="K9" s="65">
        <f>0+[1]táj.3!I9</f>
        <v>0</v>
      </c>
      <c r="L9" s="65">
        <f>18500+[1]táj.3!J9</f>
        <v>21362</v>
      </c>
      <c r="M9" s="65">
        <f>294957+[1]táj.3!K9</f>
        <v>271927</v>
      </c>
      <c r="N9" s="65">
        <f>0+[1]táj.3!L9</f>
        <v>0</v>
      </c>
      <c r="O9" s="65">
        <f t="shared" si="0"/>
        <v>317380</v>
      </c>
    </row>
    <row r="10" spans="1:15" ht="17.100000000000001" customHeight="1" x14ac:dyDescent="0.2">
      <c r="A10" s="736" t="s">
        <v>204</v>
      </c>
      <c r="B10" s="66" t="s">
        <v>284</v>
      </c>
      <c r="C10" s="377">
        <v>380243</v>
      </c>
      <c r="D10" s="737">
        <f>16+[1]táj.3!M10</f>
        <v>-7269</v>
      </c>
      <c r="E10" s="65">
        <f>4976+[1]táj.3!C10</f>
        <v>6773</v>
      </c>
      <c r="F10" s="65">
        <f>0+[1]táj.3!D10</f>
        <v>1300</v>
      </c>
      <c r="G10" s="65">
        <f>0+[1]táj.3!E10</f>
        <v>0</v>
      </c>
      <c r="H10" s="65">
        <f>18904+[1]táj.3!F10</f>
        <v>18904</v>
      </c>
      <c r="I10" s="65">
        <f>0+[1]táj.3!G10</f>
        <v>0</v>
      </c>
      <c r="J10" s="65">
        <f>0+[1]táj.3!H10</f>
        <v>0</v>
      </c>
      <c r="K10" s="65">
        <f>0+[1]táj.3!I10</f>
        <v>0</v>
      </c>
      <c r="L10" s="65">
        <f>15000+[1]táj.3!J10</f>
        <v>18477</v>
      </c>
      <c r="M10" s="65">
        <f>341379+[1]táj.3!K10</f>
        <v>327520</v>
      </c>
      <c r="N10" s="65">
        <f>0+[1]táj.3!L10</f>
        <v>0</v>
      </c>
      <c r="O10" s="65">
        <f t="shared" si="0"/>
        <v>372974</v>
      </c>
    </row>
    <row r="11" spans="1:15" ht="17.100000000000001" customHeight="1" x14ac:dyDescent="0.2">
      <c r="A11" s="736" t="s">
        <v>151</v>
      </c>
      <c r="B11" s="66" t="s">
        <v>285</v>
      </c>
      <c r="C11" s="377">
        <v>341686</v>
      </c>
      <c r="D11" s="737">
        <f>22+[1]táj.3!M11</f>
        <v>-10516</v>
      </c>
      <c r="E11" s="65">
        <f>8454+[1]táj.3!C11</f>
        <v>10251</v>
      </c>
      <c r="F11" s="65">
        <f>0+[1]táj.3!D11</f>
        <v>650</v>
      </c>
      <c r="G11" s="65">
        <f>0+[1]táj.3!E11</f>
        <v>0</v>
      </c>
      <c r="H11" s="65">
        <f>12061+[1]táj.3!F11</f>
        <v>12061</v>
      </c>
      <c r="I11" s="65">
        <f>0+[1]táj.3!G11</f>
        <v>0</v>
      </c>
      <c r="J11" s="65">
        <f>0+[1]táj.3!H11</f>
        <v>0</v>
      </c>
      <c r="K11" s="65">
        <f>0+[1]táj.3!I11</f>
        <v>0</v>
      </c>
      <c r="L11" s="65">
        <f>12000+[1]táj.3!J11</f>
        <v>15191</v>
      </c>
      <c r="M11" s="65">
        <f>309193+[1]táj.3!K11</f>
        <v>293017</v>
      </c>
      <c r="N11" s="65">
        <f>0+[1]táj.3!L11</f>
        <v>0</v>
      </c>
      <c r="O11" s="65">
        <f t="shared" si="0"/>
        <v>331170</v>
      </c>
    </row>
    <row r="12" spans="1:15" ht="18" customHeight="1" x14ac:dyDescent="0.2">
      <c r="A12" s="736" t="s">
        <v>152</v>
      </c>
      <c r="B12" s="66" t="s">
        <v>318</v>
      </c>
      <c r="C12" s="377">
        <v>53217</v>
      </c>
      <c r="D12" s="737">
        <f>31+[1]táj.3!M12</f>
        <v>600</v>
      </c>
      <c r="E12" s="65">
        <f>12491+[1]táj.3!C12</f>
        <v>12491</v>
      </c>
      <c r="F12" s="65">
        <f>0+[1]táj.3!D12</f>
        <v>0</v>
      </c>
      <c r="G12" s="65">
        <f>0+[1]táj.3!E12</f>
        <v>0</v>
      </c>
      <c r="H12" s="65">
        <f>1+[1]táj.3!F12</f>
        <v>1</v>
      </c>
      <c r="I12" s="65">
        <f>0+[1]táj.3!G12</f>
        <v>0</v>
      </c>
      <c r="J12" s="65">
        <f>0+[1]táj.3!H12</f>
        <v>0</v>
      </c>
      <c r="K12" s="65">
        <f>0+[1]táj.3!I12</f>
        <v>0</v>
      </c>
      <c r="L12" s="65">
        <f>0+[1]táj.3!J12</f>
        <v>1061</v>
      </c>
      <c r="M12" s="65">
        <f>40756+[1]táj.3!K12</f>
        <v>40264</v>
      </c>
      <c r="N12" s="65">
        <f>0+[1]táj.3!L12</f>
        <v>0</v>
      </c>
      <c r="O12" s="65">
        <f t="shared" si="0"/>
        <v>53817</v>
      </c>
    </row>
    <row r="13" spans="1:15" ht="17.100000000000001" customHeight="1" x14ac:dyDescent="0.2">
      <c r="A13" s="736" t="s">
        <v>153</v>
      </c>
      <c r="B13" s="500" t="s">
        <v>278</v>
      </c>
      <c r="C13" s="739">
        <v>484066</v>
      </c>
      <c r="D13" s="737">
        <f>3872+[1]táj.3!M13</f>
        <v>37961</v>
      </c>
      <c r="E13" s="65">
        <f>143589+[1]táj.3!C13</f>
        <v>169117</v>
      </c>
      <c r="F13" s="65">
        <f>0+[1]táj.3!D13</f>
        <v>0</v>
      </c>
      <c r="G13" s="65">
        <f>0+[1]táj.3!E13</f>
        <v>0</v>
      </c>
      <c r="H13" s="65">
        <f>90000+[1]táj.3!F13</f>
        <v>77000</v>
      </c>
      <c r="I13" s="65">
        <f>0+[1]táj.3!G13</f>
        <v>0</v>
      </c>
      <c r="J13" s="65">
        <f>0+[1]táj.3!H13</f>
        <v>100</v>
      </c>
      <c r="K13" s="65">
        <f>0+[1]táj.3!I13</f>
        <v>0</v>
      </c>
      <c r="L13" s="65">
        <f>15557+[1]táj.3!J13</f>
        <v>49223</v>
      </c>
      <c r="M13" s="65">
        <f>238792+[1]táj.3!K13</f>
        <v>226587</v>
      </c>
      <c r="N13" s="65">
        <f>0+[1]táj.3!L13</f>
        <v>0</v>
      </c>
      <c r="O13" s="65">
        <f t="shared" si="0"/>
        <v>522027</v>
      </c>
    </row>
    <row r="14" spans="1:15" ht="27" customHeight="1" x14ac:dyDescent="0.2">
      <c r="A14" s="736" t="s">
        <v>154</v>
      </c>
      <c r="B14" s="499" t="s">
        <v>286</v>
      </c>
      <c r="C14" s="738">
        <v>20958</v>
      </c>
      <c r="D14" s="737">
        <f>0+[1]táj.3!M14</f>
        <v>2772</v>
      </c>
      <c r="E14" s="65">
        <f>0+[1]táj.3!C14</f>
        <v>2000</v>
      </c>
      <c r="F14" s="65">
        <f>0+[1]táj.3!D14</f>
        <v>0</v>
      </c>
      <c r="G14" s="65">
        <f>0+[1]táj.3!E14</f>
        <v>0</v>
      </c>
      <c r="H14" s="65">
        <f>1500+[1]táj.3!F14</f>
        <v>900</v>
      </c>
      <c r="I14" s="65">
        <f>0+[1]táj.3!G14</f>
        <v>0</v>
      </c>
      <c r="J14" s="65">
        <f>0+[1]táj.3!H14</f>
        <v>0</v>
      </c>
      <c r="K14" s="65">
        <f>0+[1]táj.3!I14</f>
        <v>0</v>
      </c>
      <c r="L14" s="65">
        <f>0+[1]táj.3!J14</f>
        <v>1872</v>
      </c>
      <c r="M14" s="65">
        <f>19458+[1]táj.3!K14</f>
        <v>18958</v>
      </c>
      <c r="N14" s="65">
        <f>0+[1]táj.3!L14</f>
        <v>0</v>
      </c>
      <c r="O14" s="65">
        <f t="shared" si="0"/>
        <v>23730</v>
      </c>
    </row>
    <row r="15" spans="1:15" ht="17.100000000000001" customHeight="1" x14ac:dyDescent="0.2">
      <c r="A15" s="736" t="s">
        <v>155</v>
      </c>
      <c r="B15" s="66" t="s">
        <v>279</v>
      </c>
      <c r="C15" s="377">
        <v>418501</v>
      </c>
      <c r="D15" s="737">
        <f>4023+[1]táj.3!M15</f>
        <v>28271</v>
      </c>
      <c r="E15" s="65">
        <f>1125+[1]táj.3!C15</f>
        <v>3214</v>
      </c>
      <c r="F15" s="65">
        <f>0+[1]táj.3!D15</f>
        <v>0</v>
      </c>
      <c r="G15" s="65">
        <f>0+[1]táj.3!E15</f>
        <v>0</v>
      </c>
      <c r="H15" s="65">
        <f>28000+[1]táj.3!F15</f>
        <v>28000</v>
      </c>
      <c r="I15" s="65">
        <f>0+[1]táj.3!G15</f>
        <v>0</v>
      </c>
      <c r="J15" s="65">
        <f>0+[1]táj.3!H15</f>
        <v>0</v>
      </c>
      <c r="K15" s="65">
        <f>0+[1]táj.3!I15</f>
        <v>0</v>
      </c>
      <c r="L15" s="65">
        <f>1061+[1]táj.3!J15</f>
        <v>20596</v>
      </c>
      <c r="M15" s="65">
        <f>392338+[1]táj.3!K15</f>
        <v>394962</v>
      </c>
      <c r="N15" s="65">
        <f>0+[1]táj.3!L15</f>
        <v>0</v>
      </c>
      <c r="O15" s="65">
        <f t="shared" si="0"/>
        <v>446772</v>
      </c>
    </row>
    <row r="16" spans="1:15" ht="17.100000000000001" customHeight="1" x14ac:dyDescent="0.2">
      <c r="A16" s="736" t="s">
        <v>156</v>
      </c>
      <c r="B16" s="66" t="s">
        <v>280</v>
      </c>
      <c r="C16" s="377">
        <v>359221</v>
      </c>
      <c r="D16" s="737">
        <f>3196+[1]táj.3!M16</f>
        <v>74746</v>
      </c>
      <c r="E16" s="65">
        <f>9878+[1]táj.3!C16</f>
        <v>10123</v>
      </c>
      <c r="F16" s="65">
        <f>0+[1]táj.3!D16</f>
        <v>0</v>
      </c>
      <c r="G16" s="65">
        <f>0+[1]táj.3!E16</f>
        <v>0</v>
      </c>
      <c r="H16" s="65">
        <f>148805+[1]táj.3!F16</f>
        <v>209979</v>
      </c>
      <c r="I16" s="65">
        <f>0+[1]táj.3!G16</f>
        <v>0</v>
      </c>
      <c r="J16" s="65">
        <f>0+[1]táj.3!H16</f>
        <v>150</v>
      </c>
      <c r="K16" s="65">
        <f>0+[1]táj.3!I16</f>
        <v>0</v>
      </c>
      <c r="L16" s="65">
        <f>12807+[1]táj.3!J16</f>
        <v>18662</v>
      </c>
      <c r="M16" s="65">
        <f>190927+[1]táj.3!K16</f>
        <v>195053</v>
      </c>
      <c r="N16" s="65">
        <f>0+[1]táj.3!L16</f>
        <v>0</v>
      </c>
      <c r="O16" s="65">
        <f t="shared" si="0"/>
        <v>433967</v>
      </c>
    </row>
    <row r="17" spans="1:15" ht="17.100000000000001" customHeight="1" x14ac:dyDescent="0.2">
      <c r="A17" s="736" t="s">
        <v>205</v>
      </c>
      <c r="B17" s="66" t="s">
        <v>287</v>
      </c>
      <c r="C17" s="377">
        <v>754770</v>
      </c>
      <c r="D17" s="737">
        <f>5939+[1]táj.3!M17</f>
        <v>-70767</v>
      </c>
      <c r="E17" s="65">
        <f>78000+[1]táj.3!C17</f>
        <v>288500</v>
      </c>
      <c r="F17" s="65">
        <f>0+[1]táj.3!D17</f>
        <v>0</v>
      </c>
      <c r="G17" s="65">
        <f>0+[1]táj.3!E17</f>
        <v>0</v>
      </c>
      <c r="H17" s="65">
        <f>215804+[1]táj.3!F17</f>
        <v>143517</v>
      </c>
      <c r="I17" s="65">
        <f>0+[1]táj.3!G17</f>
        <v>0</v>
      </c>
      <c r="J17" s="65">
        <f>0+[1]táj.3!H17</f>
        <v>0</v>
      </c>
      <c r="K17" s="65">
        <f>0+[1]táj.3!I17</f>
        <v>0</v>
      </c>
      <c r="L17" s="65">
        <f>54453+[1]táj.3!J17</f>
        <v>56502</v>
      </c>
      <c r="M17" s="65">
        <f>412452+[1]táj.3!K17</f>
        <v>195484</v>
      </c>
      <c r="N17" s="65">
        <f>0+[1]táj.3!L17</f>
        <v>0</v>
      </c>
      <c r="O17" s="65">
        <f t="shared" si="0"/>
        <v>684003</v>
      </c>
    </row>
    <row r="18" spans="1:15" ht="17.100000000000001" customHeight="1" x14ac:dyDescent="0.2">
      <c r="A18" s="736" t="s">
        <v>157</v>
      </c>
      <c r="B18" s="66" t="s">
        <v>288</v>
      </c>
      <c r="C18" s="377">
        <v>136750</v>
      </c>
      <c r="D18" s="737">
        <f>903+[1]táj.3!M18</f>
        <v>-3584</v>
      </c>
      <c r="E18" s="65">
        <f>10500+[1]táj.3!C18</f>
        <v>65000</v>
      </c>
      <c r="F18" s="65">
        <f>0+[1]táj.3!D18</f>
        <v>0</v>
      </c>
      <c r="G18" s="65">
        <f>0+[1]táj.3!E18</f>
        <v>0</v>
      </c>
      <c r="H18" s="65">
        <f>29465+[1]táj.3!F18</f>
        <v>18415</v>
      </c>
      <c r="I18" s="65">
        <f>0+[1]táj.3!G18</f>
        <v>0</v>
      </c>
      <c r="J18" s="65">
        <f>0+[1]táj.3!H18</f>
        <v>0</v>
      </c>
      <c r="K18" s="65">
        <f>0+[1]táj.3!I18</f>
        <v>0</v>
      </c>
      <c r="L18" s="65">
        <f>12200+[1]táj.3!J18</f>
        <v>13066</v>
      </c>
      <c r="M18" s="65">
        <f>85488+[1]táj.3!K18</f>
        <v>36685</v>
      </c>
      <c r="N18" s="65">
        <f>0+[1]táj.3!L18</f>
        <v>0</v>
      </c>
      <c r="O18" s="65">
        <f t="shared" si="0"/>
        <v>133166</v>
      </c>
    </row>
    <row r="19" spans="1:15" ht="17.100000000000001" customHeight="1" x14ac:dyDescent="0.2">
      <c r="A19" s="736" t="s">
        <v>158</v>
      </c>
      <c r="B19" s="66" t="s">
        <v>320</v>
      </c>
      <c r="C19" s="377">
        <v>145282</v>
      </c>
      <c r="D19" s="737">
        <f>12+[1]táj.3!M19</f>
        <v>16840</v>
      </c>
      <c r="E19" s="65">
        <f>0+[1]táj.3!C19</f>
        <v>0</v>
      </c>
      <c r="F19" s="65">
        <f>0+[1]táj.3!D19</f>
        <v>0</v>
      </c>
      <c r="G19" s="65">
        <f>0+[1]táj.3!E19</f>
        <v>0</v>
      </c>
      <c r="H19" s="65">
        <f>55311+[1]táj.3!F19</f>
        <v>70311</v>
      </c>
      <c r="I19" s="65">
        <f>0+[1]táj.3!G19</f>
        <v>0</v>
      </c>
      <c r="J19" s="65">
        <f>0+[1]táj.3!H19</f>
        <v>0</v>
      </c>
      <c r="K19" s="65">
        <f>0+[1]táj.3!I19</f>
        <v>0</v>
      </c>
      <c r="L19" s="65">
        <f>20000+[1]táj.3!J19</f>
        <v>29821</v>
      </c>
      <c r="M19" s="65">
        <f>69983+[1]táj.3!K19</f>
        <v>61990</v>
      </c>
      <c r="N19" s="65">
        <f>0+[1]táj.3!L19</f>
        <v>0</v>
      </c>
      <c r="O19" s="65">
        <f t="shared" si="0"/>
        <v>162122</v>
      </c>
    </row>
    <row r="20" spans="1:15" ht="17.100000000000001" customHeight="1" x14ac:dyDescent="0.2">
      <c r="A20" s="736" t="s">
        <v>319</v>
      </c>
      <c r="B20" s="66" t="s">
        <v>325</v>
      </c>
      <c r="C20" s="377">
        <v>108439</v>
      </c>
      <c r="D20" s="737">
        <f>0+[1]táj.3!M20</f>
        <v>-274</v>
      </c>
      <c r="E20" s="65">
        <f>0+[1]táj.3!C20</f>
        <v>350</v>
      </c>
      <c r="F20" s="65">
        <f>0+[1]táj.3!D20</f>
        <v>0</v>
      </c>
      <c r="G20" s="65">
        <f>0+[1]táj.3!E20</f>
        <v>0</v>
      </c>
      <c r="H20" s="65">
        <f>101439+[1]táj.3!F20</f>
        <v>101439</v>
      </c>
      <c r="I20" s="65">
        <f>0+[1]táj.3!G20</f>
        <v>0</v>
      </c>
      <c r="J20" s="65">
        <f>0+[1]táj.3!H20</f>
        <v>0</v>
      </c>
      <c r="K20" s="65">
        <f>0+[1]táj.3!I20</f>
        <v>0</v>
      </c>
      <c r="L20" s="65">
        <f>7000+[1]táj.3!J20</f>
        <v>6376</v>
      </c>
      <c r="M20" s="65">
        <f>0+[1]táj.3!K20</f>
        <v>0</v>
      </c>
      <c r="N20" s="65">
        <f>0+[1]táj.3!L20</f>
        <v>0</v>
      </c>
      <c r="O20" s="65">
        <f t="shared" si="0"/>
        <v>108165</v>
      </c>
    </row>
    <row r="21" spans="1:15" ht="14.25" customHeight="1" x14ac:dyDescent="0.2">
      <c r="A21" s="67"/>
      <c r="B21" s="68" t="s">
        <v>140</v>
      </c>
      <c r="C21" s="647">
        <f>SUM(C3:C20)</f>
        <v>7856019</v>
      </c>
      <c r="D21" s="647">
        <f t="shared" ref="D21:O21" si="1">SUM(D3:D20)</f>
        <v>225464</v>
      </c>
      <c r="E21" s="647">
        <f t="shared" si="1"/>
        <v>991879</v>
      </c>
      <c r="F21" s="647">
        <f t="shared" si="1"/>
        <v>4760</v>
      </c>
      <c r="G21" s="647">
        <f t="shared" si="1"/>
        <v>0</v>
      </c>
      <c r="H21" s="647">
        <f t="shared" si="1"/>
        <v>1262294</v>
      </c>
      <c r="I21" s="647">
        <f t="shared" si="1"/>
        <v>51</v>
      </c>
      <c r="J21" s="647">
        <f t="shared" si="1"/>
        <v>250</v>
      </c>
      <c r="K21" s="647">
        <f t="shared" si="1"/>
        <v>0</v>
      </c>
      <c r="L21" s="647">
        <f t="shared" si="1"/>
        <v>571197</v>
      </c>
      <c r="M21" s="647">
        <f t="shared" si="1"/>
        <v>5251052</v>
      </c>
      <c r="N21" s="647">
        <f t="shared" si="1"/>
        <v>0</v>
      </c>
      <c r="O21" s="647">
        <f t="shared" si="1"/>
        <v>8081483</v>
      </c>
    </row>
    <row r="22" spans="1:15" ht="14.1" customHeight="1" x14ac:dyDescent="0.2">
      <c r="E22" s="63"/>
      <c r="F22" s="63"/>
      <c r="G22" s="63"/>
      <c r="H22" s="63"/>
      <c r="I22" s="63"/>
      <c r="J22" s="63"/>
      <c r="K22" s="63"/>
      <c r="L22" s="63"/>
      <c r="M22" s="63"/>
    </row>
    <row r="23" spans="1:15" ht="14.1" customHeight="1" x14ac:dyDescent="0.2">
      <c r="E23" s="63"/>
      <c r="F23" s="63"/>
      <c r="G23" s="63"/>
      <c r="H23" s="63"/>
      <c r="I23" s="63"/>
      <c r="J23" s="63"/>
      <c r="K23" s="63"/>
      <c r="L23" s="63"/>
      <c r="M23" s="63"/>
    </row>
    <row r="24" spans="1:15" ht="14.1" customHeight="1" x14ac:dyDescent="0.2">
      <c r="E24" s="63"/>
      <c r="F24" s="63"/>
      <c r="G24" s="63"/>
      <c r="H24" s="63"/>
      <c r="I24" s="63"/>
      <c r="J24" s="63"/>
      <c r="K24" s="63"/>
      <c r="L24" s="63"/>
      <c r="M24" s="69"/>
    </row>
    <row r="25" spans="1:15" ht="14.1" customHeight="1" x14ac:dyDescent="0.2">
      <c r="E25" s="63"/>
      <c r="F25" s="63"/>
      <c r="G25" s="63"/>
      <c r="H25" s="63"/>
      <c r="I25" s="63"/>
      <c r="J25" s="63"/>
      <c r="K25" s="63"/>
      <c r="L25" s="63"/>
      <c r="M25" s="69"/>
    </row>
    <row r="26" spans="1:15" ht="14.1" customHeight="1" x14ac:dyDescent="0.2">
      <c r="E26" s="63"/>
      <c r="F26" s="63"/>
      <c r="G26" s="63"/>
      <c r="H26" s="63"/>
      <c r="I26" s="63"/>
      <c r="J26" s="63"/>
      <c r="K26" s="63"/>
      <c r="L26" s="63"/>
      <c r="M26" s="63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2" orientation="landscape" horizontalDpi="300" verticalDpi="300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4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10</vt:lpstr>
      <vt:lpstr>11</vt:lpstr>
      <vt:lpstr>12</vt:lpstr>
      <vt:lpstr>13.a</vt:lpstr>
      <vt:lpstr>13.b</vt:lpstr>
      <vt:lpstr>14</vt:lpstr>
      <vt:lpstr>'11'!Nyomtatási_cím</vt:lpstr>
      <vt:lpstr>'13.a'!Nyomtatási_cím</vt:lpstr>
      <vt:lpstr>'13.b'!Nyomtatási_cím</vt:lpstr>
      <vt:lpstr>'9'!Nyomtatási_terület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viki</cp:lastModifiedBy>
  <cp:lastPrinted>2020-07-01T09:39:39Z</cp:lastPrinted>
  <dcterms:created xsi:type="dcterms:W3CDTF">2002-12-30T13:12:46Z</dcterms:created>
  <dcterms:modified xsi:type="dcterms:W3CDTF">2020-07-01T12:49:41Z</dcterms:modified>
</cp:coreProperties>
</file>