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7" activeTab="32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6.sz.mell. " sheetId="7" r:id="rId7"/>
    <sheet name="7.sz.mell." sheetId="8" r:id="rId8"/>
    <sheet name="9.1. sz. mell." sheetId="9" r:id="rId9"/>
    <sheet name="9.1.1. sz. mell. " sheetId="10" r:id="rId10"/>
    <sheet name="9.1.2. sz. mell." sheetId="11" r:id="rId11"/>
    <sheet name="9.2. sz. mell. " sheetId="12" r:id="rId12"/>
    <sheet name="9.2.1. sz. mell" sheetId="13" r:id="rId13"/>
    <sheet name="9.2.3. sz. mell." sheetId="14" r:id="rId14"/>
    <sheet name="9.3. sz. mell " sheetId="15" r:id="rId15"/>
    <sheet name="9.3.1. sz. mell EOI" sheetId="16" r:id="rId16"/>
    <sheet name="9.4. sz. mell EKIK" sheetId="17" r:id="rId17"/>
    <sheet name="9.4.1. sz. mell EKIK" sheetId="18" r:id="rId18"/>
    <sheet name="9.5. sz. mell VK" sheetId="19" r:id="rId19"/>
    <sheet name="9.5.1. sz. mell VK " sheetId="20" r:id="rId20"/>
    <sheet name="9.5.2. sz. mell VK" sheetId="21" r:id="rId21"/>
    <sheet name="9.6. sz. mell TISZEK" sheetId="22" r:id="rId22"/>
    <sheet name="9.6.2. sz. mell TISZEK" sheetId="23" r:id="rId23"/>
    <sheet name="9.7. sz. mell TIB  " sheetId="24" r:id="rId24"/>
    <sheet name="9.7.1. sz. mell TIB  " sheetId="25" r:id="rId25"/>
    <sheet name="int.összesítő" sheetId="26" r:id="rId26"/>
    <sheet name="engedélyezett álláshelyek " sheetId="27" r:id="rId27"/>
    <sheet name="tartalék" sheetId="28" r:id="rId28"/>
    <sheet name="1.sz tájékoztató t " sheetId="29" r:id="rId29"/>
    <sheet name="4.sz tájékoztató t " sheetId="30" r:id="rId30"/>
    <sheet name="5.sz. tájékoztató" sheetId="31" r:id="rId31"/>
    <sheet name="6.sz tájékoztató t " sheetId="32" r:id="rId32"/>
    <sheet name="feladatos Önk. " sheetId="33" r:id="rId33"/>
  </sheets>
  <externalReferences>
    <externalReference r:id="rId36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'9.2.1. sz. mell'!$1:$6</definedName>
    <definedName name="_xlnm.Print_Titles" localSheetId="13">'9.2.3. sz. mell.'!$1:$6</definedName>
    <definedName name="_xlnm.Print_Titles" localSheetId="14">'9.3. sz. mell '!$1:$6</definedName>
    <definedName name="_xlnm.Print_Titles" localSheetId="15">'9.3.1. sz. mell EOI'!$1:$6</definedName>
    <definedName name="_xlnm.Print_Titles" localSheetId="16">'9.4. sz. mell EKIK'!$1:$6</definedName>
    <definedName name="_xlnm.Print_Titles" localSheetId="17">'9.4.1. sz. mell EKIK'!$1:$6</definedName>
    <definedName name="_xlnm.Print_Titles" localSheetId="18">'9.5. sz. mell VK'!$1:$6</definedName>
    <definedName name="_xlnm.Print_Titles" localSheetId="19">'9.5.1. sz. mell VK '!$1:$6</definedName>
    <definedName name="_xlnm.Print_Titles" localSheetId="20">'9.5.2. sz. mell VK'!$1:$6</definedName>
    <definedName name="_xlnm.Print_Titles" localSheetId="21">'9.6. sz. mell TISZEK'!$1:$6</definedName>
    <definedName name="_xlnm.Print_Titles" localSheetId="22">'9.6.2. sz. mell TISZEK'!$1:$6</definedName>
    <definedName name="_xlnm.Print_Titles" localSheetId="23">'9.7. sz. mell TIB  '!$1:$6</definedName>
    <definedName name="_xlnm.Print_Titles" localSheetId="24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<sst xmlns="http://schemas.openxmlformats.org/spreadsheetml/2006/main" count="4706" uniqueCount="748">
  <si>
    <t>SZ-11M/01/003766-4/2017 közf. progr. egyéb t. eszk besz</t>
  </si>
  <si>
    <t>SZ-11M/01/003767-4/2017 közf. progr. ing. besz. lét.</t>
  </si>
  <si>
    <t>Kornisné Központban fúrógép beszerzés</t>
  </si>
  <si>
    <t>Intézmények megnevezése</t>
  </si>
  <si>
    <t>2017. évi bérkompenzáció</t>
  </si>
  <si>
    <t>szociális ágazati pótlék</t>
  </si>
  <si>
    <t>Tiszavasvári Egészségügyi Szolg. Kft.</t>
  </si>
  <si>
    <t>Magiszter Alapítvány támogatás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</si>
  <si>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</si>
  <si>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</si>
  <si>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</si>
  <si>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</si>
  <si>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- Egyesített Közművelődési Központ és Könyvtár</t>
  </si>
  <si>
    <t>Önkormányzat - GINOP 5.2.1-14-2015-00001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</si>
  <si>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</si>
  <si>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</si>
  <si>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</si>
  <si>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</si>
  <si>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</si>
  <si>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 xml:space="preserve">- Temető üzemeltetési tartalék: 200 eFt Sírbolt értékesítés: 5.000 eFt 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</si>
  <si>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</si>
  <si>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</si>
  <si>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</si>
  <si>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</si>
  <si>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</si>
  <si>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</si>
  <si>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</si>
  <si>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</si>
  <si>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</si>
  <si>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</si>
  <si>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</si>
  <si>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</si>
  <si>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</si>
  <si>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</si>
  <si>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</si>
  <si>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</si>
  <si>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</si>
  <si>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</si>
  <si>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</si>
  <si>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</si>
  <si>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</si>
  <si>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</si>
  <si>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</si>
  <si>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</si>
  <si>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</si>
  <si>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</si>
  <si>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</si>
  <si>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</si>
  <si>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</si>
  <si>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</si>
  <si>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</si>
  <si>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</si>
  <si>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</si>
  <si>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</si>
  <si>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</si>
  <si>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</si>
  <si>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</si>
  <si>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</si>
  <si>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</si>
  <si>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</si>
  <si>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</si>
  <si>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</si>
  <si>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</si>
  <si>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</si>
  <si>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</si>
  <si>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</si>
  <si>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</si>
  <si>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</si>
  <si>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</si>
  <si>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</si>
  <si>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</si>
  <si>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</si>
  <si>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</si>
  <si>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</si>
  <si>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</si>
  <si>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</si>
  <si>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</si>
  <si>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</si>
  <si>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</si>
  <si>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</si>
  <si>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</si>
  <si>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</si>
  <si>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</si>
  <si>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</si>
  <si>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</si>
  <si>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</si>
  <si>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</si>
  <si>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</si>
  <si>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</si>
  <si>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</si>
  <si>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</si>
  <si>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</si>
  <si>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</si>
  <si>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</si>
  <si>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</si>
  <si>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</si>
  <si>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</si>
  <si>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</si>
  <si>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</si>
  <si>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</si>
  <si>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</si>
  <si>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</si>
  <si>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</si>
  <si>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</si>
  <si>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</si>
  <si>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</si>
  <si>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</si>
  <si>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</si>
  <si>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</si>
  <si>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</si>
  <si>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</si>
  <si>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</si>
  <si>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</si>
  <si>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</si>
  <si>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</si>
  <si>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</si>
  <si>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</si>
  <si>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</si>
  <si>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</si>
  <si>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</si>
  <si>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</si>
  <si>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</si>
  <si>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</si>
  <si>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</si>
  <si>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</si>
  <si>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</si>
  <si>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</si>
  <si>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</si>
  <si>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</si>
  <si>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</si>
  <si>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</si>
  <si>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</si>
  <si>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</si>
  <si>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</si>
  <si>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</si>
  <si>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</si>
  <si>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</si>
  <si>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</si>
  <si>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</si>
  <si>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</si>
  <si>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</si>
  <si>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</si>
  <si>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</si>
  <si>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</si>
  <si>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</si>
  <si>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</si>
  <si>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</si>
  <si>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</si>
  <si>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</si>
  <si>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</si>
  <si>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</si>
  <si>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</si>
  <si>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</si>
  <si>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</si>
  <si>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</si>
  <si>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</si>
  <si>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</si>
  <si>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</si>
  <si>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</si>
  <si>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</si>
  <si>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</si>
  <si>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</si>
  <si>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</si>
  <si>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</si>
  <si>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</si>
  <si>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</si>
  <si>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</si>
  <si>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</si>
  <si>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</si>
  <si>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</si>
  <si>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</si>
  <si>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</si>
  <si>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</si>
  <si>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</si>
  <si>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</si>
  <si>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</si>
  <si>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</si>
  <si>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</si>
  <si>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</si>
  <si>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</si>
  <si>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</si>
  <si>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</si>
  <si>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</si>
  <si>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</si>
  <si>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</si>
  <si>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</si>
  <si>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</si>
  <si>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</si>
  <si>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</si>
  <si>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</si>
  <si>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</si>
  <si>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</si>
  <si>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</si>
  <si>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</si>
  <si>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</si>
  <si>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</si>
  <si>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</si>
  <si>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</si>
  <si>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</si>
  <si>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</si>
  <si>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</si>
  <si>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</si>
  <si>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</si>
  <si>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</si>
  <si>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</si>
  <si>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</si>
  <si>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</si>
  <si>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</si>
  <si>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</si>
  <si>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</si>
  <si>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</si>
  <si>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</si>
  <si>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</si>
  <si>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</si>
  <si>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</si>
  <si>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</si>
  <si>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</si>
  <si>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</si>
  <si>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</si>
  <si>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</si>
  <si>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</si>
  <si>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</si>
  <si>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</si>
  <si>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</si>
  <si>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</si>
  <si>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</si>
  <si>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</si>
  <si>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</si>
  <si>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</si>
  <si>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</si>
  <si>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</si>
  <si>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</si>
  <si>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</si>
  <si>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</si>
  <si>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</si>
  <si>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</si>
  <si>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</si>
  <si>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</si>
  <si>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</si>
  <si>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</si>
  <si>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</si>
  <si>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</si>
  <si>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</si>
  <si>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</si>
  <si>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</si>
  <si>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</si>
  <si>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</si>
  <si>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</si>
  <si>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</si>
  <si>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</si>
  <si>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</si>
  <si>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</si>
  <si>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</si>
  <si>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</si>
  <si>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</si>
  <si>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</si>
  <si>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</si>
  <si>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</si>
  <si>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</si>
  <si>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</si>
  <si>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</si>
  <si>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</si>
  <si>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</si>
  <si>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</si>
  <si>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</si>
  <si>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</si>
  <si>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</si>
  <si>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</si>
  <si>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</si>
  <si>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</si>
  <si>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</si>
  <si>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</si>
  <si>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</si>
  <si>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</si>
  <si>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</si>
  <si>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</si>
  <si>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</si>
  <si>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</si>
  <si>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</si>
  <si>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</si>
  <si>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</si>
  <si>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</si>
  <si>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</si>
  <si>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</si>
  <si>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</si>
  <si>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</si>
  <si>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</si>
  <si>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</si>
  <si>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</si>
  <si>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</si>
  <si>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</si>
  <si>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</si>
  <si>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</si>
  <si>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</si>
  <si>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</si>
  <si>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</si>
  <si>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</si>
  <si>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</si>
  <si>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</si>
  <si>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</si>
  <si>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</si>
  <si>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</si>
  <si>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</si>
  <si>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</si>
  <si>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</si>
  <si>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</si>
  <si>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</si>
  <si>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</si>
  <si>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</si>
  <si>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</si>
  <si>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</si>
  <si>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</si>
  <si>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</si>
  <si>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</si>
  <si>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</si>
  <si>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</si>
  <si>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</si>
  <si>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</si>
  <si>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</si>
  <si>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</si>
  <si>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</si>
  <si>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</si>
  <si>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</si>
  <si>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</si>
  <si>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</si>
  <si>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</si>
  <si>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</si>
  <si>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</si>
  <si>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</si>
  <si>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</si>
  <si>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</si>
  <si>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</si>
  <si>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</si>
  <si>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</si>
  <si>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</si>
  <si>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</si>
  <si>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</si>
  <si>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</si>
  <si>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</si>
  <si>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</si>
  <si>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</si>
  <si>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</si>
  <si>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</si>
  <si>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</si>
  <si>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</si>
  <si>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</si>
  <si>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</si>
  <si>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</si>
  <si>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</si>
  <si>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</si>
  <si>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</si>
  <si>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</si>
  <si>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</si>
  <si>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</si>
  <si>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</si>
  <si>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</si>
  <si>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</si>
  <si>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</si>
  <si>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</si>
  <si>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</si>
  <si>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</si>
  <si>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</si>
  <si>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</si>
  <si>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</si>
  <si>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</si>
  <si>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</si>
  <si>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</si>
  <si>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</si>
  <si>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</si>
  <si>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</si>
  <si>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</si>
  <si>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</si>
  <si>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</si>
  <si>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</si>
  <si>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</si>
  <si>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</si>
  <si>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</si>
  <si>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</si>
  <si>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</si>
  <si>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</si>
  <si>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</si>
  <si>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</si>
  <si>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</si>
  <si>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</si>
  <si>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</si>
  <si>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</si>
  <si>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</si>
  <si>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</si>
  <si>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</si>
  <si>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</si>
  <si>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</si>
  <si>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</si>
  <si>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</si>
  <si>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</si>
  <si>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</si>
  <si>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</si>
  <si>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</si>
  <si>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</si>
  <si>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</si>
  <si>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</si>
  <si>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</si>
  <si>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</si>
  <si>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</si>
  <si>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</si>
  <si>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</si>
  <si>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</si>
  <si>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</si>
  <si>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</si>
  <si>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</si>
  <si>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</si>
  <si>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</si>
  <si>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</si>
  <si>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</si>
  <si>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</si>
  <si>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</si>
  <si>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</si>
  <si>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</si>
  <si>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</si>
  <si>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</si>
  <si>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</si>
  <si>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</si>
  <si>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</si>
  <si>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</si>
  <si>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</si>
  <si>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</si>
  <si>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</si>
  <si>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</si>
  <si>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</si>
  <si>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</si>
  <si>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</si>
  <si>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</si>
  <si>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</si>
  <si>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</si>
  <si>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</si>
  <si>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</si>
  <si>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</si>
  <si>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</si>
  <si>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</si>
  <si>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</si>
  <si>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</si>
  <si>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</si>
  <si>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</si>
  <si>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</si>
  <si>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</si>
  <si>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</si>
  <si>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</si>
  <si>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</si>
  <si>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</si>
  <si>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</si>
  <si>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</si>
  <si>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</si>
  <si>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</si>
  <si>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</si>
  <si>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</si>
  <si>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</si>
  <si>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</si>
  <si>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</si>
  <si>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</si>
  <si>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</si>
  <si>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</si>
  <si>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</si>
  <si>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</si>
  <si>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</si>
  <si>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</si>
  <si>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</si>
  <si>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</si>
  <si>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</si>
  <si>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</si>
  <si>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</si>
  <si>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</si>
  <si>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</si>
  <si>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</si>
  <si>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</si>
  <si>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</si>
  <si>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</si>
  <si>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</si>
  <si>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</si>
  <si>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</si>
  <si>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</si>
  <si>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</si>
  <si>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</si>
  <si>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</si>
  <si>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</si>
  <si>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</si>
  <si>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</si>
  <si>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</si>
  <si>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</si>
  <si>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</si>
  <si>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</si>
  <si>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</si>
  <si>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</si>
  <si>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</si>
  <si>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</si>
  <si>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</si>
  <si>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</si>
  <si>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</si>
  <si>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</si>
  <si>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</si>
  <si>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</si>
  <si>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</si>
  <si>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</si>
  <si>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</si>
  <si>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</si>
  <si>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</si>
  <si>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</si>
  <si>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</si>
  <si>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</si>
  <si>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</si>
  <si>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</si>
  <si>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Sportegyesület TAO pályázat önerő</t>
  </si>
  <si>
    <t>Közgfoglalkoztatás - téli és egyéb értékteremtő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</si>
  <si>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</si>
  <si>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</si>
  <si>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</si>
  <si>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</si>
  <si>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</si>
  <si>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</si>
  <si>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</si>
  <si>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</si>
  <si>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</si>
  <si>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</si>
  <si>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</si>
  <si>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</si>
  <si>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</si>
  <si>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</si>
  <si>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</si>
  <si>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</si>
  <si>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</si>
  <si>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</si>
  <si>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</si>
  <si>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</si>
  <si>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</si>
  <si>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</si>
  <si>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</si>
  <si>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</si>
  <si>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</si>
  <si>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</si>
  <si>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</si>
  <si>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</si>
  <si>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</si>
  <si>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</si>
  <si>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</si>
  <si>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</si>
  <si>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</si>
  <si>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</si>
  <si>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</si>
  <si>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</si>
  <si>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</si>
  <si>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</si>
  <si>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</si>
  <si>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</si>
  <si>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</si>
  <si>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</si>
  <si>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</si>
  <si>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</si>
  <si>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</si>
  <si>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</si>
  <si>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</si>
  <si>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</si>
  <si>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</si>
  <si>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</si>
  <si>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</si>
  <si>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</si>
  <si>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</si>
  <si>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</si>
  <si>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</si>
  <si>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</si>
  <si>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</si>
  <si>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</si>
  <si>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</si>
  <si>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</si>
  <si>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</si>
  <si>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</si>
  <si>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</si>
  <si>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</si>
  <si>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</si>
  <si>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</si>
  <si>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</si>
  <si>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</si>
  <si>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</si>
  <si>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</si>
  <si>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</si>
  <si>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</si>
  <si>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</si>
  <si>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</si>
  <si>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</si>
  <si>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</si>
  <si>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</si>
  <si>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</si>
  <si>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</si>
  <si>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</si>
  <si>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</si>
  <si>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</si>
  <si>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</si>
  <si>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</si>
  <si>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</si>
  <si>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</si>
  <si>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</si>
  <si>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</si>
  <si>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</si>
  <si>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</si>
  <si>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</si>
  <si>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</si>
  <si>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</si>
  <si>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</si>
  <si>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</si>
  <si>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</si>
  <si>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</si>
  <si>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</si>
  <si>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</si>
  <si>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</si>
  <si>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</si>
  <si>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</si>
  <si>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</si>
  <si>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</si>
  <si>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</si>
  <si>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</si>
  <si>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</si>
  <si>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</si>
  <si>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</si>
  <si>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</si>
  <si>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</si>
  <si>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</si>
  <si>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</si>
  <si>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</si>
  <si>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</si>
  <si>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>Települési önkormányzatok által biztosított egyes szociális szakosított ellátások, valamint a gyermekek átmeneti gondozásával kapcsolatos feladatok támogatása</t>
  </si>
  <si>
    <t>Köznevelési intézmények működtetéséhz kapcsolódó támogatás</t>
  </si>
  <si>
    <t>A helyi önkormányzatok működésének általános támogatása</t>
  </si>
  <si>
    <t>Kiegészítő támogatás óvodapedagógusok minősítéséből adódó többletkiadásokhoz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</si>
  <si>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</si>
  <si>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</si>
  <si>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</si>
  <si>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</si>
  <si>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</si>
  <si>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</si>
  <si>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</si>
  <si>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</si>
  <si>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</si>
  <si>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</si>
  <si>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</si>
  <si>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</si>
  <si>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</si>
  <si>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</si>
  <si>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</si>
  <si>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</si>
  <si>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</si>
  <si>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</si>
  <si>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</si>
  <si>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</si>
  <si>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</si>
  <si>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</si>
  <si>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</si>
  <si>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</si>
  <si>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</si>
  <si>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</si>
  <si>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</si>
  <si>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</si>
  <si>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</si>
  <si>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</si>
  <si>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A 2017. évi általános működés és ágazati feladatok támogatásának alakulása jogcímenként</t>
  </si>
  <si>
    <t>2017. évi támogatás összesen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</si>
  <si>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</si>
  <si>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</si>
  <si>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</si>
  <si>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</si>
  <si>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</si>
  <si>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</si>
  <si>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</si>
  <si>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</si>
  <si>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</si>
  <si>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</si>
  <si>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</si>
  <si>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</si>
  <si>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</si>
  <si>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</si>
  <si>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</si>
  <si>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</si>
  <si>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</si>
  <si>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</si>
  <si>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</si>
  <si>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</si>
  <si>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</si>
  <si>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A 2016. évről áthúzódó bérkompenzáció támogatása</t>
  </si>
  <si>
    <t>Kisgyermek gondozó pótlék 11 hó</t>
  </si>
  <si>
    <t>Kúlturális ágazati pótlék 11hó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</si>
  <si>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</si>
  <si>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</si>
  <si>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</si>
  <si>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</si>
  <si>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</si>
  <si>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</si>
  <si>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</si>
  <si>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</si>
  <si>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</si>
  <si>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</si>
  <si>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</si>
  <si>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Egyesített Közműv. Int. és Könyv.</t>
  </si>
  <si>
    <t>- Üdülő VKT bevétel terhére kiadási tartalék</t>
  </si>
  <si>
    <t>Mezei őrszolgálat támogatása</t>
  </si>
  <si>
    <t>-</t>
  </si>
  <si>
    <t>Ütéscsillapító gumiszőnyeg vásárlás (Egyesített Óvodai Int.)</t>
  </si>
  <si>
    <t>Udvari játéktároló beszerzés (Egyesített Óvodai Int.)</t>
  </si>
  <si>
    <t>Nagyteljesítményű takarítógép beszerzés (Egy.Óvodai Int)</t>
  </si>
  <si>
    <t>5 db laptop vásárlás (Egyesített Óvodai Int.)</t>
  </si>
  <si>
    <t>1 db nyomtató beszerzés (Városi Kincstár)</t>
  </si>
  <si>
    <t>6 db forgószék beszerzés (Városi Kincstár)</t>
  </si>
  <si>
    <t>Irattári szekrény készítés (Városi Kincstár)</t>
  </si>
  <si>
    <t>5 db telefon beszerzés (Városi Kincstár)</t>
  </si>
  <si>
    <t>2 db iratmegsemmisítő vásárlás (Városi Kincstár)</t>
  </si>
  <si>
    <t>1 db alkoholszonda beszerzés (Városi Kincstár)</t>
  </si>
  <si>
    <t>10 db ügyfélszék beszerzés (Városi Kincstár)</t>
  </si>
  <si>
    <t>1 db klíma beszerzés (Városi Kincstár)</t>
  </si>
  <si>
    <t>1 db nyomtató-fénymásoló beszerzés (EKIK)</t>
  </si>
  <si>
    <t>1 db számítógép beszerzés (EKIK)</t>
  </si>
  <si>
    <t>1 db hordozható CD lejátszó (EKIK)</t>
  </si>
  <si>
    <t>1 db projektor tartó (EKIK)</t>
  </si>
  <si>
    <t>1 db projektorhoz wireless (EKIK)</t>
  </si>
  <si>
    <t>5 db irodai forgószék (EKIK)</t>
  </si>
  <si>
    <t>1 db ruhatári fogasrendszer (EKIK)</t>
  </si>
  <si>
    <t>Könyvtári könyvek beszerzése (EKIK)</t>
  </si>
  <si>
    <t>1 db monitor beszerzése (Kornisné Központ)</t>
  </si>
  <si>
    <t>1 db EKG készülék vásárlás  (Kornisné Központ)</t>
  </si>
  <si>
    <t>10 db RR.mérő vásárlás (Kornisné Központ)</t>
  </si>
  <si>
    <t>3 db négyfunkciós ápolási ágy vásárlás (Kornisné)</t>
  </si>
  <si>
    <t>1 db gépkocsi vásárlás fogyatékos ellátásra (Kornisné)</t>
  </si>
  <si>
    <t>1 db konyhai rozsdamentes platform (Kornisné)</t>
  </si>
  <si>
    <t>1 db ipari habverő fej (Kornisné Központ)</t>
  </si>
  <si>
    <t>2 db forgószék vásárlás (Kornisné Központ)</t>
  </si>
  <si>
    <t>1 db íróasztal és szék vásárlás  (Kornisné Központ)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</si>
  <si>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</si>
  <si>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</si>
  <si>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</si>
  <si>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</si>
  <si>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</si>
  <si>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</si>
  <si>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</si>
  <si>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</si>
  <si>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</si>
  <si>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</si>
  <si>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</si>
  <si>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SZ-11M/01/003761-4/2017 közf. progr. egyéb t. eszk besz</t>
  </si>
  <si>
    <t>SZ-11M/01/003767-4/2017 közf. progr. egyéb t. eszk besz</t>
  </si>
  <si>
    <t>SZ-11M/01/003768-4/2017 közf. progr. egyéb t. eszk besz</t>
  </si>
  <si>
    <t>SZ-11M/01/003765-4/2017 közf. progr. egyéb t. eszk besz</t>
  </si>
  <si>
    <t>SZ-11M/01/003764-4/2017 közf. progr. egyéb t. eszk besz</t>
  </si>
  <si>
    <t>Támogatási tartalék ( EÜ Kft:13.814 eFt,Nyírs.Tiszk:163 eFt,Nyírv.K.K.: 4.568 eFt)</t>
  </si>
  <si>
    <t>Fizikoterápiás szolgáltatás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</si>
</sst>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77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72" applyFont="1" applyFill="1" applyBorder="1" applyAlignment="1" applyProtection="1">
      <alignment horizontal="center" vertical="center" wrapText="1"/>
      <protection/>
    </xf>
    <xf numFmtId="0" fontId="5" fillId="0" borderId="0" xfId="72" applyFont="1" applyFill="1" applyBorder="1" applyAlignment="1" applyProtection="1">
      <alignment vertical="center" wrapText="1"/>
      <protection/>
    </xf>
    <xf numFmtId="0" fontId="15" fillId="0" borderId="10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vertical="center" wrapText="1" indent="1"/>
      <protection/>
    </xf>
    <xf numFmtId="0" fontId="15" fillId="0" borderId="12" xfId="72" applyFont="1" applyFill="1" applyBorder="1" applyAlignment="1" applyProtection="1">
      <alignment horizontal="left" vertical="center" wrapText="1" indent="1"/>
      <protection/>
    </xf>
    <xf numFmtId="0" fontId="15" fillId="0" borderId="13" xfId="72" applyFont="1" applyFill="1" applyBorder="1" applyAlignment="1" applyProtection="1">
      <alignment horizontal="left" vertical="center" wrapText="1" indent="1"/>
      <protection/>
    </xf>
    <xf numFmtId="0" fontId="15" fillId="0" borderId="14" xfId="72" applyFont="1" applyFill="1" applyBorder="1" applyAlignment="1" applyProtection="1">
      <alignment horizontal="left" vertical="center" wrapText="1" indent="1"/>
      <protection/>
    </xf>
    <xf numFmtId="0" fontId="15" fillId="0" borderId="15" xfId="72" applyFont="1" applyFill="1" applyBorder="1" applyAlignment="1" applyProtection="1">
      <alignment horizontal="left" vertical="center" wrapText="1" indent="1"/>
      <protection/>
    </xf>
    <xf numFmtId="49" fontId="15" fillId="0" borderId="16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72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72" applyFont="1" applyFill="1" applyBorder="1" applyAlignment="1" applyProtection="1">
      <alignment horizontal="left" vertical="center" wrapText="1" indent="1"/>
      <protection/>
    </xf>
    <xf numFmtId="0" fontId="13" fillId="0" borderId="22" xfId="72" applyFont="1" applyFill="1" applyBorder="1" applyAlignment="1" applyProtection="1">
      <alignment horizontal="left" vertical="center" wrapText="1" indent="1"/>
      <protection/>
    </xf>
    <xf numFmtId="0" fontId="13" fillId="0" borderId="23" xfId="72" applyFont="1" applyFill="1" applyBorder="1" applyAlignment="1" applyProtection="1">
      <alignment horizontal="left" vertical="center" wrapText="1" indent="1"/>
      <protection/>
    </xf>
    <xf numFmtId="0" fontId="13" fillId="0" borderId="24" xfId="72" applyFont="1" applyFill="1" applyBorder="1" applyAlignment="1" applyProtection="1">
      <alignment horizontal="left" vertical="center" wrapText="1" indent="1"/>
      <protection/>
    </xf>
    <xf numFmtId="0" fontId="6" fillId="0" borderId="22" xfId="72" applyFont="1" applyFill="1" applyBorder="1" applyAlignment="1" applyProtection="1">
      <alignment horizontal="center" vertical="center" wrapText="1"/>
      <protection/>
    </xf>
    <xf numFmtId="0" fontId="6" fillId="0" borderId="23" xfId="72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72" applyFont="1" applyFill="1" applyBorder="1" applyAlignment="1" applyProtection="1">
      <alignment vertical="center" wrapText="1"/>
      <protection/>
    </xf>
    <xf numFmtId="0" fontId="13" fillId="0" borderId="25" xfId="72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72" applyFont="1" applyFill="1" applyBorder="1" applyAlignment="1" applyProtection="1">
      <alignment horizontal="center" vertical="center" wrapText="1"/>
      <protection/>
    </xf>
    <xf numFmtId="0" fontId="13" fillId="0" borderId="23" xfId="72" applyFont="1" applyFill="1" applyBorder="1" applyAlignment="1" applyProtection="1">
      <alignment horizontal="center" vertical="center" wrapText="1"/>
      <protection/>
    </xf>
    <xf numFmtId="0" fontId="13" fillId="0" borderId="28" xfId="72" applyFont="1" applyFill="1" applyBorder="1" applyAlignment="1" applyProtection="1">
      <alignment horizontal="center" vertical="center" wrapText="1"/>
      <protection/>
    </xf>
    <xf numFmtId="0" fontId="6" fillId="0" borderId="23" xfId="74" applyFont="1" applyFill="1" applyBorder="1" applyAlignment="1" applyProtection="1">
      <alignment horizontal="left" vertical="center" indent="1"/>
      <protection/>
    </xf>
    <xf numFmtId="0" fontId="6" fillId="0" borderId="28" xfId="7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4" applyFont="1" applyFill="1" applyBorder="1" applyAlignment="1" applyProtection="1">
      <alignment horizontal="center" vertical="center" wrapText="1"/>
      <protection/>
    </xf>
    <xf numFmtId="0" fontId="6" fillId="0" borderId="25" xfId="74" applyFont="1" applyFill="1" applyBorder="1" applyAlignment="1" applyProtection="1">
      <alignment horizontal="center" vertical="center"/>
      <protection/>
    </xf>
    <xf numFmtId="0" fontId="6" fillId="0" borderId="32" xfId="74" applyFont="1" applyFill="1" applyBorder="1" applyAlignment="1" applyProtection="1">
      <alignment horizontal="center" vertical="center"/>
      <protection/>
    </xf>
    <xf numFmtId="0" fontId="2" fillId="0" borderId="0" xfId="74" applyFill="1" applyProtection="1">
      <alignment/>
      <protection/>
    </xf>
    <xf numFmtId="0" fontId="15" fillId="0" borderId="22" xfId="74" applyFont="1" applyFill="1" applyBorder="1" applyAlignment="1" applyProtection="1">
      <alignment horizontal="left" vertical="center" indent="1"/>
      <protection/>
    </xf>
    <xf numFmtId="0" fontId="2" fillId="0" borderId="0" xfId="74" applyFill="1" applyAlignment="1" applyProtection="1">
      <alignment vertical="center"/>
      <protection/>
    </xf>
    <xf numFmtId="0" fontId="15" fillId="0" borderId="16" xfId="74" applyFont="1" applyFill="1" applyBorder="1" applyAlignment="1" applyProtection="1">
      <alignment horizontal="left" vertical="center" indent="1"/>
      <protection/>
    </xf>
    <xf numFmtId="0" fontId="15" fillId="0" borderId="17" xfId="74" applyFont="1" applyFill="1" applyBorder="1" applyAlignment="1" applyProtection="1">
      <alignment horizontal="left" vertical="center" indent="1"/>
      <protection/>
    </xf>
    <xf numFmtId="164" fontId="15" fillId="0" borderId="11" xfId="74" applyNumberFormat="1" applyFont="1" applyFill="1" applyBorder="1" applyAlignment="1" applyProtection="1">
      <alignment vertical="center"/>
      <protection locked="0"/>
    </xf>
    <xf numFmtId="0" fontId="2" fillId="0" borderId="0" xfId="74" applyFill="1" applyAlignment="1" applyProtection="1">
      <alignment vertical="center"/>
      <protection locked="0"/>
    </xf>
    <xf numFmtId="164" fontId="13" fillId="0" borderId="23" xfId="74" applyNumberFormat="1" applyFont="1" applyFill="1" applyBorder="1" applyAlignment="1" applyProtection="1">
      <alignment vertical="center"/>
      <protection/>
    </xf>
    <xf numFmtId="164" fontId="13" fillId="0" borderId="28" xfId="74" applyNumberFormat="1" applyFont="1" applyFill="1" applyBorder="1" applyAlignment="1" applyProtection="1">
      <alignment vertical="center"/>
      <protection/>
    </xf>
    <xf numFmtId="0" fontId="15" fillId="0" borderId="18" xfId="74" applyFont="1" applyFill="1" applyBorder="1" applyAlignment="1" applyProtection="1">
      <alignment horizontal="left" vertical="center" indent="1"/>
      <protection/>
    </xf>
    <xf numFmtId="0" fontId="13" fillId="0" borderId="22" xfId="74" applyFont="1" applyFill="1" applyBorder="1" applyAlignment="1" applyProtection="1">
      <alignment horizontal="left" vertical="center" indent="1"/>
      <protection/>
    </xf>
    <xf numFmtId="164" fontId="13" fillId="0" borderId="23" xfId="74" applyNumberFormat="1" applyFont="1" applyFill="1" applyBorder="1" applyProtection="1">
      <alignment/>
      <protection/>
    </xf>
    <xf numFmtId="164" fontId="13" fillId="0" borderId="28" xfId="74" applyNumberFormat="1" applyFont="1" applyFill="1" applyBorder="1" applyProtection="1">
      <alignment/>
      <protection/>
    </xf>
    <xf numFmtId="0" fontId="2" fillId="0" borderId="0" xfId="74" applyFill="1" applyProtection="1">
      <alignment/>
      <protection locked="0"/>
    </xf>
    <xf numFmtId="0" fontId="0" fillId="0" borderId="0" xfId="74" applyFont="1" applyFill="1" applyProtection="1">
      <alignment/>
      <protection/>
    </xf>
    <xf numFmtId="0" fontId="21" fillId="0" borderId="0" xfId="74" applyFont="1" applyFill="1" applyProtection="1">
      <alignment/>
      <protection locked="0"/>
    </xf>
    <xf numFmtId="0" fontId="5" fillId="0" borderId="0" xfId="74" applyFont="1" applyFill="1" applyProtection="1">
      <alignment/>
      <protection locked="0"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72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5" fillId="0" borderId="34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indent="6"/>
      <protection/>
    </xf>
    <xf numFmtId="0" fontId="15" fillId="0" borderId="11" xfId="72" applyFont="1" applyFill="1" applyBorder="1" applyAlignment="1" applyProtection="1">
      <alignment horizontal="left" vertical="center" wrapText="1" indent="6"/>
      <protection/>
    </xf>
    <xf numFmtId="0" fontId="15" fillId="0" borderId="15" xfId="72" applyFont="1" applyFill="1" applyBorder="1" applyAlignment="1" applyProtection="1">
      <alignment horizontal="left" vertical="center" wrapText="1" indent="6"/>
      <protection/>
    </xf>
    <xf numFmtId="0" fontId="15" fillId="0" borderId="35" xfId="72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74" applyFont="1" applyFill="1" applyBorder="1" applyAlignment="1" applyProtection="1">
      <alignment horizontal="left" vertical="center" indent="1"/>
      <protection/>
    </xf>
    <xf numFmtId="0" fontId="15" fillId="0" borderId="12" xfId="74" applyFont="1" applyFill="1" applyBorder="1" applyAlignment="1" applyProtection="1">
      <alignment horizontal="left" vertical="center" wrapText="1" indent="1"/>
      <protection/>
    </xf>
    <xf numFmtId="0" fontId="15" fillId="0" borderId="11" xfId="74" applyFont="1" applyFill="1" applyBorder="1" applyAlignment="1" applyProtection="1">
      <alignment horizontal="left" vertical="center" wrapText="1" indent="1"/>
      <protection/>
    </xf>
    <xf numFmtId="0" fontId="15" fillId="0" borderId="12" xfId="74" applyFont="1" applyFill="1" applyBorder="1" applyAlignment="1" applyProtection="1">
      <alignment horizontal="left" vertical="center" indent="1"/>
      <protection/>
    </xf>
    <xf numFmtId="0" fontId="6" fillId="0" borderId="23" xfId="74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5" xfId="0" applyFont="1" applyBorder="1" applyAlignment="1" applyProtection="1">
      <alignment horizontal="left" vertical="center" wrapText="1" indent="1"/>
      <protection/>
    </xf>
    <xf numFmtId="164" fontId="13" fillId="0" borderId="32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2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left" vertical="center" wrapText="1" indent="1"/>
      <protection/>
    </xf>
    <xf numFmtId="0" fontId="2" fillId="0" borderId="0" xfId="72" applyFont="1" applyFill="1" applyProtection="1">
      <alignment/>
      <protection/>
    </xf>
    <xf numFmtId="0" fontId="2" fillId="0" borderId="0" xfId="72" applyFont="1" applyFill="1" applyAlignment="1" applyProtection="1">
      <alignment horizontal="right" vertical="center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72" applyFont="1" applyFill="1" applyBorder="1" applyAlignment="1" applyProtection="1">
      <alignment horizontal="center" vertical="center" wrapText="1"/>
      <protection/>
    </xf>
    <xf numFmtId="0" fontId="13" fillId="0" borderId="25" xfId="72" applyFont="1" applyFill="1" applyBorder="1" applyAlignment="1" applyProtection="1">
      <alignment horizontal="center" vertical="center" wrapText="1"/>
      <protection/>
    </xf>
    <xf numFmtId="0" fontId="13" fillId="0" borderId="32" xfId="72" applyFont="1" applyFill="1" applyBorder="1" applyAlignment="1" applyProtection="1">
      <alignment horizontal="center" vertical="center" wrapTex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72" applyFont="1" applyFill="1" applyBorder="1" applyAlignment="1" applyProtection="1">
      <alignment horizontal="left" vertical="center" wrapText="1" indent="6"/>
      <protection/>
    </xf>
    <xf numFmtId="0" fontId="2" fillId="0" borderId="0" xfId="72" applyFill="1" applyProtection="1">
      <alignment/>
      <protection/>
    </xf>
    <xf numFmtId="0" fontId="15" fillId="0" borderId="0" xfId="72" applyFont="1" applyFill="1" applyProtection="1">
      <alignment/>
      <protection/>
    </xf>
    <xf numFmtId="0" fontId="0" fillId="0" borderId="0" xfId="72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 wrapText="1"/>
      <protection/>
    </xf>
    <xf numFmtId="0" fontId="2" fillId="0" borderId="0" xfId="72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72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72" applyNumberFormat="1" applyFont="1" applyFill="1" applyBorder="1" applyAlignment="1" applyProtection="1">
      <alignment horizontal="center" vertical="center" wrapText="1"/>
      <protection/>
    </xf>
    <xf numFmtId="49" fontId="15" fillId="0" borderId="17" xfId="72" applyNumberFormat="1" applyFont="1" applyFill="1" applyBorder="1" applyAlignment="1" applyProtection="1">
      <alignment horizontal="center" vertical="center" wrapText="1"/>
      <protection/>
    </xf>
    <xf numFmtId="49" fontId="15" fillId="0" borderId="19" xfId="72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45" xfId="0" applyFont="1" applyBorder="1" applyAlignment="1" applyProtection="1">
      <alignment horizontal="center" wrapText="1"/>
      <protection/>
    </xf>
    <xf numFmtId="49" fontId="15" fillId="0" borderId="20" xfId="72" applyNumberFormat="1" applyFont="1" applyFill="1" applyBorder="1" applyAlignment="1" applyProtection="1">
      <alignment horizontal="center" vertical="center" wrapText="1"/>
      <protection/>
    </xf>
    <xf numFmtId="49" fontId="15" fillId="0" borderId="16" xfId="72" applyNumberFormat="1" applyFont="1" applyFill="1" applyBorder="1" applyAlignment="1" applyProtection="1">
      <alignment horizontal="center" vertical="center" wrapText="1"/>
      <protection/>
    </xf>
    <xf numFmtId="49" fontId="15" fillId="0" borderId="21" xfId="72" applyNumberFormat="1" applyFont="1" applyFill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4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71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71">
      <alignment/>
      <protection/>
    </xf>
    <xf numFmtId="0" fontId="7" fillId="0" borderId="0" xfId="71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71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4" xfId="71" applyFont="1" applyBorder="1" applyAlignment="1">
      <alignment vertical="center"/>
      <protection/>
    </xf>
    <xf numFmtId="0" fontId="2" fillId="0" borderId="55" xfId="71" applyFont="1" applyBorder="1" applyAlignment="1">
      <alignment vertical="center"/>
      <protection/>
    </xf>
    <xf numFmtId="0" fontId="2" fillId="0" borderId="56" xfId="71" applyFont="1" applyBorder="1" applyAlignment="1">
      <alignment vertical="center"/>
      <protection/>
    </xf>
    <xf numFmtId="166" fontId="5" fillId="0" borderId="36" xfId="46" applyNumberFormat="1" applyFont="1" applyBorder="1" applyAlignment="1">
      <alignment horizontal="center" vertical="center"/>
    </xf>
    <xf numFmtId="0" fontId="30" fillId="0" borderId="0" xfId="71" applyAlignment="1">
      <alignment vertical="center"/>
      <protection/>
    </xf>
    <xf numFmtId="166" fontId="5" fillId="0" borderId="53" xfId="46" applyNumberFormat="1" applyFont="1" applyBorder="1" applyAlignment="1">
      <alignment/>
    </xf>
    <xf numFmtId="166" fontId="5" fillId="0" borderId="57" xfId="46" applyNumberFormat="1" applyFont="1" applyBorder="1" applyAlignment="1">
      <alignment/>
    </xf>
    <xf numFmtId="166" fontId="5" fillId="0" borderId="58" xfId="46" applyNumberFormat="1" applyFont="1" applyBorder="1" applyAlignment="1">
      <alignment/>
    </xf>
    <xf numFmtId="0" fontId="30" fillId="0" borderId="0" xfId="71" applyFill="1" applyBorder="1">
      <alignment/>
      <protection/>
    </xf>
    <xf numFmtId="0" fontId="30" fillId="0" borderId="0" xfId="71" applyBorder="1">
      <alignment/>
      <protection/>
    </xf>
    <xf numFmtId="166" fontId="5" fillId="0" borderId="59" xfId="46" applyNumberFormat="1" applyFont="1" applyBorder="1" applyAlignment="1">
      <alignment/>
    </xf>
    <xf numFmtId="166" fontId="2" fillId="0" borderId="60" xfId="46" applyNumberFormat="1" applyFont="1" applyBorder="1" applyAlignment="1" quotePrefix="1">
      <alignment/>
    </xf>
    <xf numFmtId="166" fontId="2" fillId="0" borderId="44" xfId="46" applyNumberFormat="1" applyFont="1" applyBorder="1" applyAlignment="1" quotePrefix="1">
      <alignment/>
    </xf>
    <xf numFmtId="166" fontId="2" fillId="0" borderId="44" xfId="46" applyNumberFormat="1" applyFont="1" applyBorder="1" applyAlignment="1">
      <alignment/>
    </xf>
    <xf numFmtId="0" fontId="0" fillId="0" borderId="59" xfId="71" applyFont="1" applyBorder="1" quotePrefix="1">
      <alignment/>
      <protection/>
    </xf>
    <xf numFmtId="0" fontId="0" fillId="0" borderId="60" xfId="71" applyFont="1" applyBorder="1">
      <alignment/>
      <protection/>
    </xf>
    <xf numFmtId="0" fontId="0" fillId="0" borderId="44" xfId="71" applyFont="1" applyBorder="1">
      <alignment/>
      <protection/>
    </xf>
    <xf numFmtId="166" fontId="0" fillId="0" borderId="44" xfId="46" applyNumberFormat="1" applyFont="1" applyBorder="1" applyAlignment="1">
      <alignment/>
    </xf>
    <xf numFmtId="0" fontId="0" fillId="0" borderId="0" xfId="71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59" xfId="71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59" xfId="71" applyFont="1" applyBorder="1">
      <alignment/>
      <protection/>
    </xf>
    <xf numFmtId="0" fontId="0" fillId="0" borderId="60" xfId="71" applyFont="1" applyBorder="1">
      <alignment/>
      <protection/>
    </xf>
    <xf numFmtId="0" fontId="33" fillId="0" borderId="60" xfId="71" applyFont="1" applyBorder="1">
      <alignment/>
      <protection/>
    </xf>
    <xf numFmtId="0" fontId="33" fillId="0" borderId="44" xfId="71" applyFont="1" applyBorder="1">
      <alignment/>
      <protection/>
    </xf>
    <xf numFmtId="166" fontId="5" fillId="0" borderId="60" xfId="46" applyNumberFormat="1" applyFont="1" applyBorder="1" applyAlignment="1">
      <alignment/>
    </xf>
    <xf numFmtId="166" fontId="5" fillId="0" borderId="44" xfId="46" applyNumberFormat="1" applyFont="1" applyBorder="1" applyAlignment="1">
      <alignment/>
    </xf>
    <xf numFmtId="166" fontId="3" fillId="0" borderId="44" xfId="46" applyNumberFormat="1" applyFont="1" applyBorder="1" applyAlignment="1">
      <alignment/>
    </xf>
    <xf numFmtId="166" fontId="5" fillId="0" borderId="37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166" fontId="5" fillId="0" borderId="62" xfId="46" applyNumberFormat="1" applyFont="1" applyBorder="1" applyAlignment="1">
      <alignment/>
    </xf>
    <xf numFmtId="166" fontId="3" fillId="0" borderId="62" xfId="46" applyNumberFormat="1" applyFont="1" applyBorder="1" applyAlignment="1">
      <alignment/>
    </xf>
    <xf numFmtId="0" fontId="0" fillId="0" borderId="0" xfId="76" applyFont="1">
      <alignment/>
      <protection/>
    </xf>
    <xf numFmtId="0" fontId="35" fillId="0" borderId="0" xfId="73" applyFont="1" applyAlignment="1">
      <alignment horizontal="centerContinuous"/>
      <protection/>
    </xf>
    <xf numFmtId="0" fontId="30" fillId="0" borderId="0" xfId="76">
      <alignment/>
      <protection/>
    </xf>
    <xf numFmtId="0" fontId="35" fillId="0" borderId="0" xfId="76" applyFont="1" applyAlignment="1">
      <alignment horizontal="centerContinuous"/>
      <protection/>
    </xf>
    <xf numFmtId="0" fontId="20" fillId="0" borderId="0" xfId="76" applyFont="1" applyAlignment="1">
      <alignment horizontal="centerContinuous"/>
      <protection/>
    </xf>
    <xf numFmtId="0" fontId="20" fillId="0" borderId="0" xfId="73" applyFont="1" applyFill="1" applyAlignment="1">
      <alignment horizontal="centerContinuous"/>
      <protection/>
    </xf>
    <xf numFmtId="0" fontId="32" fillId="0" borderId="0" xfId="76" applyFont="1" applyAlignment="1">
      <alignment horizontal="left"/>
      <protection/>
    </xf>
    <xf numFmtId="0" fontId="32" fillId="0" borderId="0" xfId="76" applyFont="1" applyAlignment="1">
      <alignment horizontal="centerContinuous"/>
      <protection/>
    </xf>
    <xf numFmtId="0" fontId="0" fillId="0" borderId="0" xfId="76" applyFont="1" applyBorder="1">
      <alignment/>
      <protection/>
    </xf>
    <xf numFmtId="0" fontId="15" fillId="0" borderId="63" xfId="76" applyFont="1" applyBorder="1">
      <alignment/>
      <protection/>
    </xf>
    <xf numFmtId="0" fontId="13" fillId="0" borderId="0" xfId="76" applyFont="1" applyBorder="1" applyAlignment="1">
      <alignment horizontal="left"/>
      <protection/>
    </xf>
    <xf numFmtId="0" fontId="30" fillId="0" borderId="0" xfId="76" applyBorder="1" applyAlignment="1">
      <alignment horizontal="left"/>
      <protection/>
    </xf>
    <xf numFmtId="0" fontId="13" fillId="0" borderId="0" xfId="76" applyFont="1" applyBorder="1" applyAlignment="1">
      <alignment horizontal="center"/>
      <protection/>
    </xf>
    <xf numFmtId="0" fontId="13" fillId="0" borderId="50" xfId="76" applyFont="1" applyBorder="1" applyAlignment="1">
      <alignment horizontal="center"/>
      <protection/>
    </xf>
    <xf numFmtId="0" fontId="13" fillId="0" borderId="64" xfId="76" applyFont="1" applyBorder="1" applyAlignment="1">
      <alignment horizontal="center"/>
      <protection/>
    </xf>
    <xf numFmtId="49" fontId="15" fillId="0" borderId="65" xfId="75" applyNumberFormat="1" applyFont="1" applyBorder="1">
      <alignment/>
      <protection/>
    </xf>
    <xf numFmtId="3" fontId="15" fillId="0" borderId="0" xfId="76" applyNumberFormat="1" applyFont="1" applyBorder="1">
      <alignment/>
      <protection/>
    </xf>
    <xf numFmtId="0" fontId="30" fillId="0" borderId="0" xfId="76" applyFont="1">
      <alignment/>
      <protection/>
    </xf>
    <xf numFmtId="0" fontId="15" fillId="0" borderId="59" xfId="75" applyFont="1" applyBorder="1" quotePrefix="1">
      <alignment/>
      <protection/>
    </xf>
    <xf numFmtId="3" fontId="15" fillId="0" borderId="0" xfId="46" applyNumberFormat="1" applyFont="1" applyBorder="1" applyAlignment="1" quotePrefix="1">
      <alignment horizontal="right"/>
    </xf>
    <xf numFmtId="49" fontId="15" fillId="0" borderId="59" xfId="75" applyNumberFormat="1" applyFont="1" applyBorder="1">
      <alignment/>
      <protection/>
    </xf>
    <xf numFmtId="0" fontId="15" fillId="0" borderId="59" xfId="75" applyFont="1" applyBorder="1" quotePrefix="1">
      <alignment/>
      <protection/>
    </xf>
    <xf numFmtId="177" fontId="15" fillId="0" borderId="31" xfId="76" applyNumberFormat="1" applyFont="1" applyBorder="1">
      <alignment/>
      <protection/>
    </xf>
    <xf numFmtId="0" fontId="15" fillId="0" borderId="0" xfId="76" applyFont="1" applyBorder="1">
      <alignment/>
      <protection/>
    </xf>
    <xf numFmtId="0" fontId="3" fillId="0" borderId="42" xfId="76" applyFont="1" applyBorder="1">
      <alignment/>
      <protection/>
    </xf>
    <xf numFmtId="3" fontId="13" fillId="0" borderId="0" xfId="76" applyNumberFormat="1" applyFont="1" applyBorder="1">
      <alignment/>
      <protection/>
    </xf>
    <xf numFmtId="0" fontId="3" fillId="0" borderId="37" xfId="76" applyFont="1" applyBorder="1">
      <alignment/>
      <protection/>
    </xf>
    <xf numFmtId="3" fontId="15" fillId="0" borderId="11" xfId="46" applyNumberFormat="1" applyFont="1" applyBorder="1" applyAlignment="1">
      <alignment horizontal="right"/>
    </xf>
    <xf numFmtId="177" fontId="15" fillId="0" borderId="27" xfId="76" applyNumberFormat="1" applyFont="1" applyFill="1" applyBorder="1">
      <alignment/>
      <protection/>
    </xf>
    <xf numFmtId="0" fontId="30" fillId="0" borderId="0" xfId="69">
      <alignment/>
      <protection/>
    </xf>
    <xf numFmtId="0" fontId="0" fillId="0" borderId="0" xfId="69" applyFont="1">
      <alignment/>
      <protection/>
    </xf>
    <xf numFmtId="0" fontId="37" fillId="0" borderId="0" xfId="69" applyFont="1" applyAlignment="1">
      <alignment horizontal="centerContinuous"/>
      <protection/>
    </xf>
    <xf numFmtId="0" fontId="3" fillId="0" borderId="66" xfId="69" applyFont="1" applyBorder="1" applyAlignment="1">
      <alignment horizontal="center" vertical="center" wrapText="1"/>
      <protection/>
    </xf>
    <xf numFmtId="0" fontId="30" fillId="0" borderId="0" xfId="69" applyFont="1">
      <alignment/>
      <protection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177" fontId="15" fillId="0" borderId="31" xfId="76" applyNumberFormat="1" applyFont="1" applyFill="1" applyBorder="1">
      <alignment/>
      <protection/>
    </xf>
    <xf numFmtId="177" fontId="15" fillId="0" borderId="29" xfId="76" applyNumberFormat="1" applyFont="1" applyFill="1" applyBorder="1">
      <alignment/>
      <protection/>
    </xf>
    <xf numFmtId="0" fontId="30" fillId="0" borderId="0" xfId="70">
      <alignment/>
      <protection/>
    </xf>
    <xf numFmtId="0" fontId="15" fillId="0" borderId="0" xfId="70" applyFont="1">
      <alignment/>
      <protection/>
    </xf>
    <xf numFmtId="0" fontId="13" fillId="0" borderId="0" xfId="70" applyFont="1">
      <alignment/>
      <protection/>
    </xf>
    <xf numFmtId="0" fontId="36" fillId="0" borderId="0" xfId="70" applyFont="1">
      <alignment/>
      <protection/>
    </xf>
    <xf numFmtId="0" fontId="0" fillId="0" borderId="0" xfId="70" applyFont="1">
      <alignment/>
      <protection/>
    </xf>
    <xf numFmtId="0" fontId="14" fillId="0" borderId="0" xfId="70" applyFont="1" applyAlignment="1">
      <alignment horizontal="right"/>
      <protection/>
    </xf>
    <xf numFmtId="49" fontId="32" fillId="0" borderId="0" xfId="70" applyNumberFormat="1" applyFont="1" applyAlignment="1">
      <alignment horizontal="centerContinuous"/>
      <protection/>
    </xf>
    <xf numFmtId="0" fontId="15" fillId="0" borderId="0" xfId="70" applyFont="1" applyAlignment="1">
      <alignment horizontal="centerContinuous"/>
      <protection/>
    </xf>
    <xf numFmtId="0" fontId="13" fillId="0" borderId="0" xfId="70" applyFont="1" applyAlignment="1">
      <alignment horizontal="centerContinuous"/>
      <protection/>
    </xf>
    <xf numFmtId="0" fontId="0" fillId="0" borderId="0" xfId="70" applyFont="1" applyAlignment="1">
      <alignment horizontal="centerContinuous"/>
      <protection/>
    </xf>
    <xf numFmtId="0" fontId="3" fillId="0" borderId="0" xfId="70" applyFont="1" applyAlignment="1">
      <alignment horizontal="centerContinuous"/>
      <protection/>
    </xf>
    <xf numFmtId="0" fontId="32" fillId="0" borderId="0" xfId="70" applyFont="1" applyAlignment="1">
      <alignment horizontal="centerContinuous"/>
      <protection/>
    </xf>
    <xf numFmtId="0" fontId="39" fillId="0" borderId="0" xfId="70" applyFont="1" applyAlignment="1">
      <alignment horizontal="centerContinuous"/>
      <protection/>
    </xf>
    <xf numFmtId="0" fontId="5" fillId="0" borderId="54" xfId="70" applyFont="1" applyBorder="1">
      <alignment/>
      <protection/>
    </xf>
    <xf numFmtId="0" fontId="5" fillId="0" borderId="55" xfId="70" applyFont="1" applyBorder="1" applyAlignment="1">
      <alignment horizontal="center"/>
      <protection/>
    </xf>
    <xf numFmtId="0" fontId="14" fillId="0" borderId="49" xfId="70" applyFont="1" applyBorder="1" applyAlignment="1">
      <alignment horizontal="center"/>
      <protection/>
    </xf>
    <xf numFmtId="0" fontId="6" fillId="0" borderId="19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31" xfId="70" applyFont="1" applyBorder="1" applyAlignment="1">
      <alignment horizontal="center"/>
      <protection/>
    </xf>
    <xf numFmtId="0" fontId="6" fillId="0" borderId="50" xfId="70" applyFont="1" applyBorder="1" applyAlignment="1">
      <alignment horizontal="center"/>
      <protection/>
    </xf>
    <xf numFmtId="0" fontId="12" fillId="0" borderId="67" xfId="70" applyFont="1" applyBorder="1">
      <alignment/>
      <protection/>
    </xf>
    <xf numFmtId="0" fontId="6" fillId="0" borderId="16" xfId="70" applyFont="1" applyBorder="1" applyAlignment="1">
      <alignment horizontal="center"/>
      <protection/>
    </xf>
    <xf numFmtId="0" fontId="6" fillId="0" borderId="10" xfId="70" applyFont="1" applyBorder="1" applyAlignment="1">
      <alignment horizontal="center"/>
      <protection/>
    </xf>
    <xf numFmtId="0" fontId="6" fillId="0" borderId="46" xfId="70" applyFont="1" applyBorder="1" applyAlignment="1">
      <alignment horizontal="center"/>
      <protection/>
    </xf>
    <xf numFmtId="0" fontId="6" fillId="0" borderId="0" xfId="70" applyFont="1" applyBorder="1" applyAlignment="1">
      <alignment horizontal="center"/>
      <protection/>
    </xf>
    <xf numFmtId="3" fontId="6" fillId="0" borderId="13" xfId="70" applyNumberFormat="1" applyFont="1" applyBorder="1" applyAlignment="1">
      <alignment horizontal="center"/>
      <protection/>
    </xf>
    <xf numFmtId="3" fontId="12" fillId="0" borderId="13" xfId="70" applyNumberFormat="1" applyFont="1" applyBorder="1" applyAlignment="1">
      <alignment horizontal="right"/>
      <protection/>
    </xf>
    <xf numFmtId="3" fontId="12" fillId="0" borderId="13" xfId="70" applyNumberFormat="1" applyFont="1" applyBorder="1" applyAlignment="1">
      <alignment horizontal="center"/>
      <protection/>
    </xf>
    <xf numFmtId="3" fontId="6" fillId="0" borderId="26" xfId="70" applyNumberFormat="1" applyFont="1" applyBorder="1">
      <alignment/>
      <protection/>
    </xf>
    <xf numFmtId="3" fontId="6" fillId="0" borderId="55" xfId="70" applyNumberFormat="1" applyFont="1" applyBorder="1">
      <alignment/>
      <protection/>
    </xf>
    <xf numFmtId="3" fontId="12" fillId="0" borderId="13" xfId="70" applyNumberFormat="1" applyFont="1" applyBorder="1" applyAlignment="1">
      <alignment/>
      <protection/>
    </xf>
    <xf numFmtId="0" fontId="31" fillId="0" borderId="0" xfId="70" applyFont="1">
      <alignment/>
      <protection/>
    </xf>
    <xf numFmtId="3" fontId="12" fillId="0" borderId="11" xfId="70" applyNumberFormat="1" applyFont="1" applyBorder="1">
      <alignment/>
      <protection/>
    </xf>
    <xf numFmtId="3" fontId="6" fillId="0" borderId="27" xfId="70" applyNumberFormat="1" applyFont="1" applyBorder="1">
      <alignment/>
      <protection/>
    </xf>
    <xf numFmtId="3" fontId="6" fillId="0" borderId="50" xfId="70" applyNumberFormat="1" applyFont="1" applyBorder="1">
      <alignment/>
      <protection/>
    </xf>
    <xf numFmtId="3" fontId="12" fillId="0" borderId="17" xfId="70" applyNumberFormat="1" applyFont="1" applyBorder="1">
      <alignment/>
      <protection/>
    </xf>
    <xf numFmtId="3" fontId="6" fillId="0" borderId="17" xfId="70" applyNumberFormat="1" applyFont="1" applyBorder="1">
      <alignment/>
      <protection/>
    </xf>
    <xf numFmtId="3" fontId="6" fillId="0" borderId="11" xfId="70" applyNumberFormat="1" applyFont="1" applyBorder="1">
      <alignment/>
      <protection/>
    </xf>
    <xf numFmtId="3" fontId="12" fillId="0" borderId="11" xfId="70" applyNumberFormat="1" applyFont="1" applyBorder="1">
      <alignment/>
      <protection/>
    </xf>
    <xf numFmtId="3" fontId="41" fillId="0" borderId="11" xfId="70" applyNumberFormat="1" applyFont="1" applyBorder="1">
      <alignment/>
      <protection/>
    </xf>
    <xf numFmtId="3" fontId="42" fillId="0" borderId="11" xfId="70" applyNumberFormat="1" applyFont="1" applyBorder="1">
      <alignment/>
      <protection/>
    </xf>
    <xf numFmtId="3" fontId="6" fillId="0" borderId="27" xfId="70" applyNumberFormat="1" applyFont="1" applyBorder="1">
      <alignment/>
      <protection/>
    </xf>
    <xf numFmtId="3" fontId="43" fillId="0" borderId="11" xfId="70" applyNumberFormat="1" applyFont="1" applyBorder="1">
      <alignment/>
      <protection/>
    </xf>
    <xf numFmtId="3" fontId="14" fillId="0" borderId="50" xfId="70" applyNumberFormat="1" applyFont="1" applyBorder="1">
      <alignment/>
      <protection/>
    </xf>
    <xf numFmtId="3" fontId="41" fillId="0" borderId="11" xfId="70" applyNumberFormat="1" applyFont="1" applyBorder="1">
      <alignment/>
      <protection/>
    </xf>
    <xf numFmtId="3" fontId="6" fillId="0" borderId="11" xfId="70" applyNumberFormat="1" applyFont="1" applyBorder="1">
      <alignment/>
      <protection/>
    </xf>
    <xf numFmtId="3" fontId="14" fillId="0" borderId="27" xfId="70" applyNumberFormat="1" applyFont="1" applyBorder="1">
      <alignment/>
      <protection/>
    </xf>
    <xf numFmtId="3" fontId="41" fillId="0" borderId="0" xfId="70" applyNumberFormat="1" applyFont="1" applyBorder="1">
      <alignment/>
      <protection/>
    </xf>
    <xf numFmtId="3" fontId="14" fillId="0" borderId="0" xfId="70" applyNumberFormat="1" applyFont="1" applyBorder="1">
      <alignment/>
      <protection/>
    </xf>
    <xf numFmtId="3" fontId="41" fillId="0" borderId="17" xfId="70" applyNumberFormat="1" applyFont="1" applyBorder="1">
      <alignment/>
      <protection/>
    </xf>
    <xf numFmtId="3" fontId="14" fillId="0" borderId="27" xfId="70" applyNumberFormat="1" applyFont="1" applyBorder="1">
      <alignment/>
      <protection/>
    </xf>
    <xf numFmtId="3" fontId="12" fillId="0" borderId="19" xfId="70" applyNumberFormat="1" applyFont="1" applyBorder="1">
      <alignment/>
      <protection/>
    </xf>
    <xf numFmtId="3" fontId="12" fillId="0" borderId="15" xfId="70" applyNumberFormat="1" applyFont="1" applyBorder="1">
      <alignment/>
      <protection/>
    </xf>
    <xf numFmtId="3" fontId="6" fillId="0" borderId="31" xfId="70" applyNumberFormat="1" applyFont="1" applyBorder="1">
      <alignment/>
      <protection/>
    </xf>
    <xf numFmtId="3" fontId="6" fillId="0" borderId="31" xfId="70" applyNumberFormat="1" applyFont="1" applyBorder="1">
      <alignment/>
      <protection/>
    </xf>
    <xf numFmtId="3" fontId="6" fillId="0" borderId="20" xfId="70" applyNumberFormat="1" applyFont="1" applyBorder="1">
      <alignment/>
      <protection/>
    </xf>
    <xf numFmtId="3" fontId="6" fillId="0" borderId="68" xfId="70" applyNumberFormat="1" applyFont="1" applyBorder="1">
      <alignment/>
      <protection/>
    </xf>
    <xf numFmtId="3" fontId="6" fillId="0" borderId="0" xfId="70" applyNumberFormat="1" applyFont="1" applyBorder="1">
      <alignment/>
      <protection/>
    </xf>
    <xf numFmtId="3" fontId="12" fillId="0" borderId="27" xfId="70" applyNumberFormat="1" applyFont="1" applyBorder="1">
      <alignment/>
      <protection/>
    </xf>
    <xf numFmtId="0" fontId="6" fillId="0" borderId="69" xfId="70" applyFont="1" applyBorder="1">
      <alignment/>
      <protection/>
    </xf>
    <xf numFmtId="3" fontId="6" fillId="0" borderId="70" xfId="70" applyNumberFormat="1" applyFont="1" applyBorder="1">
      <alignment/>
      <protection/>
    </xf>
    <xf numFmtId="3" fontId="6" fillId="0" borderId="35" xfId="70" applyNumberFormat="1" applyFont="1" applyBorder="1">
      <alignment/>
      <protection/>
    </xf>
    <xf numFmtId="3" fontId="6" fillId="0" borderId="69" xfId="70" applyNumberFormat="1" applyFont="1" applyBorder="1">
      <alignment/>
      <protection/>
    </xf>
    <xf numFmtId="3" fontId="6" fillId="0" borderId="30" xfId="70" applyNumberFormat="1" applyFont="1" applyBorder="1">
      <alignment/>
      <protection/>
    </xf>
    <xf numFmtId="0" fontId="41" fillId="0" borderId="0" xfId="70" applyFont="1" applyBorder="1" quotePrefix="1">
      <alignment/>
      <protection/>
    </xf>
    <xf numFmtId="3" fontId="12" fillId="0" borderId="0" xfId="70" applyNumberFormat="1" applyFont="1" applyBorder="1">
      <alignment/>
      <protection/>
    </xf>
    <xf numFmtId="3" fontId="12" fillId="0" borderId="0" xfId="70" applyNumberFormat="1" applyFont="1" applyFill="1" applyBorder="1">
      <alignment/>
      <protection/>
    </xf>
    <xf numFmtId="3" fontId="41" fillId="0" borderId="0" xfId="70" applyNumberFormat="1" applyFont="1" applyFill="1" applyBorder="1">
      <alignment/>
      <protection/>
    </xf>
    <xf numFmtId="3" fontId="43" fillId="0" borderId="0" xfId="70" applyNumberFormat="1" applyFont="1" applyBorder="1">
      <alignment/>
      <protection/>
    </xf>
    <xf numFmtId="0" fontId="3" fillId="0" borderId="36" xfId="76" applyFont="1" applyBorder="1">
      <alignment/>
      <protection/>
    </xf>
    <xf numFmtId="0" fontId="15" fillId="0" borderId="49" xfId="76" applyFont="1" applyBorder="1">
      <alignment/>
      <protection/>
    </xf>
    <xf numFmtId="0" fontId="15" fillId="0" borderId="38" xfId="76" applyFont="1" applyBorder="1">
      <alignment/>
      <protection/>
    </xf>
    <xf numFmtId="0" fontId="25" fillId="0" borderId="42" xfId="76" applyFont="1" applyBorder="1">
      <alignment/>
      <protection/>
    </xf>
    <xf numFmtId="14" fontId="13" fillId="0" borderId="71" xfId="76" applyNumberFormat="1" applyFont="1" applyBorder="1" applyAlignment="1">
      <alignment horizontal="center"/>
      <protection/>
    </xf>
    <xf numFmtId="3" fontId="41" fillId="0" borderId="15" xfId="70" applyNumberFormat="1" applyFont="1" applyBorder="1">
      <alignment/>
      <protection/>
    </xf>
    <xf numFmtId="3" fontId="41" fillId="0" borderId="15" xfId="70" applyNumberFormat="1" applyFont="1" applyBorder="1">
      <alignment/>
      <protection/>
    </xf>
    <xf numFmtId="3" fontId="14" fillId="0" borderId="72" xfId="70" applyNumberFormat="1" applyFont="1" applyBorder="1">
      <alignment/>
      <protection/>
    </xf>
    <xf numFmtId="3" fontId="6" fillId="0" borderId="73" xfId="70" applyNumberFormat="1" applyFont="1" applyBorder="1">
      <alignment/>
      <protection/>
    </xf>
    <xf numFmtId="0" fontId="46" fillId="0" borderId="0" xfId="76" applyFont="1">
      <alignment/>
      <protection/>
    </xf>
    <xf numFmtId="3" fontId="40" fillId="0" borderId="11" xfId="70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70" applyNumberFormat="1" applyFont="1" applyFill="1" applyBorder="1">
      <alignment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70" applyFont="1" applyBorder="1">
      <alignment/>
      <protection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4" applyNumberFormat="1" applyFont="1" applyFill="1" applyBorder="1" applyAlignment="1" applyProtection="1">
      <alignment vertical="center"/>
      <protection locked="0"/>
    </xf>
    <xf numFmtId="164" fontId="15" fillId="0" borderId="12" xfId="74" applyNumberFormat="1" applyFont="1" applyFill="1" applyBorder="1" applyAlignment="1" applyProtection="1">
      <alignment vertical="center"/>
      <protection locked="0"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40" fillId="0" borderId="15" xfId="0" applyNumberFormat="1" applyFont="1" applyFill="1" applyBorder="1" applyAlignment="1" applyProtection="1">
      <alignment vertical="center" wrapText="1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6" xfId="76" applyNumberFormat="1" applyFont="1" applyBorder="1">
      <alignment/>
      <protection/>
    </xf>
    <xf numFmtId="2" fontId="13" fillId="0" borderId="30" xfId="76" applyNumberFormat="1" applyFont="1" applyBorder="1">
      <alignment/>
      <protection/>
    </xf>
    <xf numFmtId="2" fontId="19" fillId="0" borderId="36" xfId="76" applyNumberFormat="1" applyFont="1" applyBorder="1">
      <alignment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72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45" xfId="0" applyFont="1" applyBorder="1" applyAlignment="1" applyProtection="1">
      <alignment vertical="center" wrapText="1"/>
      <protection/>
    </xf>
    <xf numFmtId="0" fontId="15" fillId="0" borderId="35" xfId="72" applyFont="1" applyFill="1" applyBorder="1" applyAlignment="1" applyProtection="1">
      <alignment horizontal="left" vertical="center" wrapText="1" indent="7"/>
      <protection/>
    </xf>
    <xf numFmtId="0" fontId="13" fillId="0" borderId="45" xfId="72" applyFont="1" applyFill="1" applyBorder="1" applyAlignment="1" applyProtection="1">
      <alignment horizontal="left" vertical="center" wrapText="1" indent="1"/>
      <protection/>
    </xf>
    <xf numFmtId="0" fontId="13" fillId="0" borderId="34" xfId="72" applyFont="1" applyFill="1" applyBorder="1" applyAlignment="1" applyProtection="1">
      <alignment vertical="center" wrapText="1"/>
      <protection/>
    </xf>
    <xf numFmtId="164" fontId="13" fillId="0" borderId="71" xfId="72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2" xfId="0" applyNumberFormat="1" applyFont="1" applyFill="1" applyBorder="1" applyAlignment="1" applyProtection="1">
      <alignment horizontal="right" vertical="center" indent="1"/>
      <protection/>
    </xf>
    <xf numFmtId="49" fontId="13" fillId="0" borderId="22" xfId="72" applyNumberFormat="1" applyFont="1" applyFill="1" applyBorder="1" applyAlignment="1" applyProtection="1">
      <alignment horizontal="center" vertical="center" wrapText="1"/>
      <protection/>
    </xf>
    <xf numFmtId="2" fontId="15" fillId="0" borderId="27" xfId="76" applyNumberFormat="1" applyFont="1" applyFill="1" applyBorder="1">
      <alignment/>
      <protection/>
    </xf>
    <xf numFmtId="0" fontId="7" fillId="0" borderId="0" xfId="69" applyFont="1" applyAlignment="1">
      <alignment horizontal="center"/>
      <protection/>
    </xf>
    <xf numFmtId="166" fontId="30" fillId="0" borderId="0" xfId="69" applyNumberFormat="1" applyFont="1">
      <alignment/>
      <protection/>
    </xf>
    <xf numFmtId="0" fontId="33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31" xfId="76" applyNumberFormat="1" applyFont="1" applyFill="1" applyBorder="1">
      <alignment/>
      <protection/>
    </xf>
    <xf numFmtId="164" fontId="44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3" fontId="15" fillId="0" borderId="11" xfId="76" applyNumberFormat="1" applyFont="1" applyBorder="1" applyAlignment="1">
      <alignment horizontal="right"/>
      <protection/>
    </xf>
    <xf numFmtId="164" fontId="15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47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4" applyFont="1" applyFill="1" applyAlignment="1" applyProtection="1">
      <alignment vertical="center"/>
      <protection locked="0"/>
    </xf>
    <xf numFmtId="0" fontId="15" fillId="0" borderId="0" xfId="70" applyFont="1">
      <alignment/>
      <protection/>
    </xf>
    <xf numFmtId="164" fontId="15" fillId="0" borderId="10" xfId="74" applyNumberFormat="1" applyFont="1" applyFill="1" applyBorder="1" applyAlignment="1" applyProtection="1">
      <alignment vertical="center"/>
      <protection locked="0"/>
    </xf>
    <xf numFmtId="164" fontId="13" fillId="0" borderId="46" xfId="74" applyNumberFormat="1" applyFont="1" applyFill="1" applyBorder="1" applyAlignment="1" applyProtection="1">
      <alignment vertical="center"/>
      <protection/>
    </xf>
    <xf numFmtId="164" fontId="13" fillId="0" borderId="27" xfId="74" applyNumberFormat="1" applyFont="1" applyFill="1" applyBorder="1" applyAlignment="1" applyProtection="1">
      <alignment vertical="center"/>
      <protection/>
    </xf>
    <xf numFmtId="164" fontId="13" fillId="0" borderId="29" xfId="74" applyNumberFormat="1" applyFont="1" applyFill="1" applyBorder="1" applyAlignment="1" applyProtection="1">
      <alignment vertical="center"/>
      <protection/>
    </xf>
    <xf numFmtId="164" fontId="15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70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 applyProtection="1">
      <alignment vertical="center" wrapTex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9" xfId="75" applyFont="1" applyFill="1" applyBorder="1" quotePrefix="1">
      <alignment/>
      <protection/>
    </xf>
    <xf numFmtId="164" fontId="44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70" applyNumberFormat="1" applyFont="1" applyFill="1" applyBorder="1">
      <alignment/>
      <protection/>
    </xf>
    <xf numFmtId="0" fontId="5" fillId="0" borderId="48" xfId="69" applyFont="1" applyBorder="1" applyAlignment="1">
      <alignment wrapText="1"/>
      <protection/>
    </xf>
    <xf numFmtId="0" fontId="28" fillId="0" borderId="11" xfId="0" applyFont="1" applyBorder="1" applyAlignment="1" applyProtection="1">
      <alignment horizontal="left" vertical="center" indent="1"/>
      <protection locked="0"/>
    </xf>
    <xf numFmtId="166" fontId="3" fillId="0" borderId="58" xfId="46" applyNumberFormat="1" applyFont="1" applyBorder="1" applyAlignment="1">
      <alignment/>
    </xf>
    <xf numFmtId="3" fontId="12" fillId="0" borderId="19" xfId="70" applyNumberFormat="1" applyFont="1" applyFill="1" applyBorder="1">
      <alignment/>
      <protection/>
    </xf>
    <xf numFmtId="164" fontId="47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13" fillId="18" borderId="34" xfId="0" applyNumberFormat="1" applyFont="1" applyFill="1" applyBorder="1" applyAlignment="1" applyProtection="1">
      <alignment vertical="center" wrapText="1"/>
      <protection/>
    </xf>
    <xf numFmtId="164" fontId="13" fillId="0" borderId="71" xfId="0" applyNumberFormat="1" applyFont="1" applyFill="1" applyBorder="1" applyAlignment="1" applyProtection="1">
      <alignment vertical="center" wrapText="1"/>
      <protection/>
    </xf>
    <xf numFmtId="3" fontId="0" fillId="0" borderId="73" xfId="46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0" xfId="0" applyNumberFormat="1" applyFill="1" applyBorder="1" applyAlignment="1" applyProtection="1">
      <alignment horizontal="left" vertical="center" wrapText="1"/>
      <protection locked="0"/>
    </xf>
    <xf numFmtId="0" fontId="67" fillId="0" borderId="48" xfId="0" applyFont="1" applyFill="1" applyBorder="1" applyAlignment="1">
      <alignment vertical="center"/>
    </xf>
    <xf numFmtId="0" fontId="67" fillId="0" borderId="48" xfId="0" applyFont="1" applyFill="1" applyBorder="1" applyAlignment="1" quotePrefix="1">
      <alignment vertical="center"/>
    </xf>
    <xf numFmtId="0" fontId="15" fillId="0" borderId="38" xfId="76" applyFont="1" applyBorder="1">
      <alignment/>
      <protection/>
    </xf>
    <xf numFmtId="0" fontId="0" fillId="0" borderId="48" xfId="69" applyFont="1" applyBorder="1" applyAlignment="1">
      <alignment wrapText="1"/>
      <protection/>
    </xf>
    <xf numFmtId="164" fontId="14" fillId="0" borderId="33" xfId="72" applyNumberFormat="1" applyFont="1" applyFill="1" applyBorder="1" applyAlignment="1" applyProtection="1">
      <alignment horizontal="left" vertical="center"/>
      <protection/>
    </xf>
    <xf numFmtId="0" fontId="0" fillId="0" borderId="59" xfId="71" applyFont="1" applyBorder="1" applyAlignment="1">
      <alignment horizontal="left"/>
      <protection/>
    </xf>
    <xf numFmtId="0" fontId="0" fillId="0" borderId="60" xfId="71" applyFont="1" applyBorder="1" applyAlignment="1" quotePrefix="1">
      <alignment horizontal="left"/>
      <protection/>
    </xf>
    <xf numFmtId="0" fontId="2" fillId="0" borderId="0" xfId="72" applyFill="1">
      <alignment/>
      <protection/>
    </xf>
    <xf numFmtId="0" fontId="6" fillId="0" borderId="41" xfId="72" applyFont="1" applyFill="1" applyBorder="1" applyAlignment="1" applyProtection="1">
      <alignment horizontal="center" vertical="center" wrapText="1"/>
      <protection/>
    </xf>
    <xf numFmtId="0" fontId="6" fillId="0" borderId="51" xfId="72" applyFont="1" applyFill="1" applyBorder="1" applyAlignment="1" applyProtection="1">
      <alignment horizontal="center" vertical="center" wrapText="1"/>
      <protection/>
    </xf>
    <xf numFmtId="0" fontId="13" fillId="0" borderId="51" xfId="72" applyFont="1" applyFill="1" applyBorder="1" applyAlignment="1" applyProtection="1">
      <alignment horizontal="center" vertical="center" wrapText="1"/>
      <protection/>
    </xf>
    <xf numFmtId="0" fontId="15" fillId="0" borderId="0" xfId="72" applyFont="1" applyFill="1">
      <alignment/>
      <protection/>
    </xf>
    <xf numFmtId="164" fontId="13" fillId="0" borderId="23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2" applyFont="1" applyFill="1">
      <alignment/>
      <protection/>
    </xf>
    <xf numFmtId="164" fontId="15" fillId="0" borderId="1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4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4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5" xfId="72" applyFont="1" applyFill="1" applyBorder="1" applyAlignment="1" applyProtection="1">
      <alignment horizontal="center" vertical="center" wrapText="1"/>
      <protection/>
    </xf>
    <xf numFmtId="0" fontId="5" fillId="0" borderId="55" xfId="72" applyFont="1" applyFill="1" applyBorder="1" applyAlignment="1" applyProtection="1">
      <alignment vertical="center" wrapText="1"/>
      <protection/>
    </xf>
    <xf numFmtId="0" fontId="15" fillId="0" borderId="55" xfId="72" applyFont="1" applyFill="1" applyBorder="1" applyAlignment="1" applyProtection="1">
      <alignment horizontal="right" vertical="center" wrapText="1" indent="1"/>
      <protection locked="0"/>
    </xf>
    <xf numFmtId="164" fontId="15" fillId="0" borderId="55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72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51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51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2" applyFont="1" applyFill="1">
      <alignment/>
      <protection/>
    </xf>
    <xf numFmtId="164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16" borderId="73" xfId="46" applyNumberFormat="1" applyFont="1" applyFill="1" applyBorder="1" applyAlignment="1" applyProtection="1">
      <alignment horizontal="left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8" xfId="72" applyFont="1" applyFill="1" applyBorder="1" applyProtection="1">
      <alignment/>
      <protection locked="0"/>
    </xf>
    <xf numFmtId="164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0" fontId="0" fillId="0" borderId="47" xfId="69" applyFont="1" applyBorder="1" applyAlignment="1">
      <alignment wrapText="1"/>
      <protection/>
    </xf>
    <xf numFmtId="0" fontId="30" fillId="0" borderId="69" xfId="69" applyFont="1" applyBorder="1">
      <alignment/>
      <protection/>
    </xf>
    <xf numFmtId="3" fontId="12" fillId="0" borderId="75" xfId="70" applyNumberFormat="1" applyFont="1" applyFill="1" applyBorder="1">
      <alignment/>
      <protection/>
    </xf>
    <xf numFmtId="3" fontId="12" fillId="0" borderId="76" xfId="70" applyNumberFormat="1" applyFont="1" applyBorder="1" applyAlignment="1">
      <alignment horizontal="center"/>
      <protection/>
    </xf>
    <xf numFmtId="3" fontId="12" fillId="0" borderId="14" xfId="70" applyNumberFormat="1" applyFont="1" applyBorder="1">
      <alignment/>
      <protection/>
    </xf>
    <xf numFmtId="3" fontId="41" fillId="0" borderId="14" xfId="70" applyNumberFormat="1" applyFont="1" applyBorder="1">
      <alignment/>
      <protection/>
    </xf>
    <xf numFmtId="3" fontId="12" fillId="0" borderId="75" xfId="70" applyNumberFormat="1" applyFont="1" applyBorder="1">
      <alignment/>
      <protection/>
    </xf>
    <xf numFmtId="3" fontId="12" fillId="0" borderId="14" xfId="70" applyNumberFormat="1" applyFont="1" applyFill="1" applyBorder="1">
      <alignment/>
      <protection/>
    </xf>
    <xf numFmtId="0" fontId="12" fillId="0" borderId="68" xfId="70" applyFont="1" applyBorder="1">
      <alignment/>
      <protection/>
    </xf>
    <xf numFmtId="0" fontId="12" fillId="0" borderId="48" xfId="70" applyFont="1" applyBorder="1">
      <alignment/>
      <protection/>
    </xf>
    <xf numFmtId="49" fontId="12" fillId="0" borderId="48" xfId="70" applyNumberFormat="1" applyFont="1" applyBorder="1">
      <alignment/>
      <protection/>
    </xf>
    <xf numFmtId="49" fontId="12" fillId="0" borderId="48" xfId="70" applyNumberFormat="1" applyFont="1" applyBorder="1">
      <alignment/>
      <protection/>
    </xf>
    <xf numFmtId="0" fontId="6" fillId="0" borderId="48" xfId="70" applyFont="1" applyBorder="1">
      <alignment/>
      <protection/>
    </xf>
    <xf numFmtId="49" fontId="41" fillId="0" borderId="48" xfId="70" applyNumberFormat="1" applyFont="1" applyBorder="1">
      <alignment/>
      <protection/>
    </xf>
    <xf numFmtId="0" fontId="0" fillId="0" borderId="48" xfId="70" applyFont="1" applyBorder="1">
      <alignment/>
      <protection/>
    </xf>
    <xf numFmtId="0" fontId="12" fillId="0" borderId="72" xfId="70" applyFont="1" applyBorder="1">
      <alignment/>
      <protection/>
    </xf>
    <xf numFmtId="0" fontId="12" fillId="0" borderId="50" xfId="70" applyFont="1" applyBorder="1">
      <alignment/>
      <protection/>
    </xf>
    <xf numFmtId="3" fontId="6" fillId="0" borderId="76" xfId="70" applyNumberFormat="1" applyFont="1" applyBorder="1">
      <alignment/>
      <protection/>
    </xf>
    <xf numFmtId="3" fontId="12" fillId="0" borderId="14" xfId="70" applyNumberFormat="1" applyFont="1" applyBorder="1">
      <alignment/>
      <protection/>
    </xf>
    <xf numFmtId="0" fontId="6" fillId="0" borderId="47" xfId="70" applyFont="1" applyBorder="1">
      <alignment/>
      <protection/>
    </xf>
    <xf numFmtId="0" fontId="12" fillId="0" borderId="48" xfId="70" applyFont="1" applyBorder="1" quotePrefix="1">
      <alignment/>
      <protection/>
    </xf>
    <xf numFmtId="0" fontId="30" fillId="0" borderId="72" xfId="69" applyFont="1" applyBorder="1">
      <alignment/>
      <protection/>
    </xf>
    <xf numFmtId="3" fontId="3" fillId="0" borderId="58" xfId="69" applyNumberFormat="1" applyFont="1" applyBorder="1" applyAlignment="1">
      <alignment horizontal="center" vertical="center" wrapText="1"/>
      <protection/>
    </xf>
    <xf numFmtId="3" fontId="1" fillId="0" borderId="74" xfId="69" applyNumberFormat="1" applyFont="1" applyBorder="1" applyAlignment="1">
      <alignment horizontal="right" indent="2"/>
      <protection/>
    </xf>
    <xf numFmtId="3" fontId="1" fillId="0" borderId="74" xfId="46" applyNumberFormat="1" applyFont="1" applyBorder="1" applyAlignment="1">
      <alignment horizontal="right" indent="2"/>
    </xf>
    <xf numFmtId="3" fontId="22" fillId="0" borderId="74" xfId="46" applyNumberFormat="1" applyFont="1" applyBorder="1" applyAlignment="1">
      <alignment horizontal="right" indent="2"/>
    </xf>
    <xf numFmtId="3" fontId="22" fillId="0" borderId="40" xfId="46" applyNumberFormat="1" applyFont="1" applyBorder="1" applyAlignment="1">
      <alignment horizontal="right" indent="2"/>
    </xf>
    <xf numFmtId="3" fontId="1" fillId="0" borderId="44" xfId="46" applyNumberFormat="1" applyFont="1" applyBorder="1" applyAlignment="1">
      <alignment horizontal="right" indent="2"/>
    </xf>
    <xf numFmtId="3" fontId="30" fillId="0" borderId="40" xfId="69" applyNumberFormat="1" applyBorder="1" applyAlignment="1">
      <alignment horizontal="right" indent="2"/>
      <protection/>
    </xf>
    <xf numFmtId="3" fontId="30" fillId="0" borderId="62" xfId="69" applyNumberFormat="1" applyBorder="1" applyAlignment="1">
      <alignment horizontal="right" indent="2"/>
      <protection/>
    </xf>
    <xf numFmtId="166" fontId="38" fillId="0" borderId="52" xfId="69" applyNumberFormat="1" applyFont="1" applyBorder="1" applyAlignment="1">
      <alignment horizontal="center"/>
      <protection/>
    </xf>
    <xf numFmtId="0" fontId="3" fillId="0" borderId="68" xfId="69" applyFont="1" applyBorder="1" applyAlignment="1">
      <alignment horizontal="left" vertical="center" wrapText="1"/>
      <protection/>
    </xf>
    <xf numFmtId="0" fontId="0" fillId="0" borderId="47" xfId="69" applyFont="1" applyBorder="1" applyAlignment="1">
      <alignment horizontal="left" vertical="center" wrapText="1"/>
      <protection/>
    </xf>
    <xf numFmtId="0" fontId="0" fillId="0" borderId="47" xfId="69" applyFont="1" applyBorder="1" applyAlignment="1">
      <alignment wrapText="1"/>
      <protection/>
    </xf>
    <xf numFmtId="0" fontId="5" fillId="0" borderId="47" xfId="69" applyFont="1" applyBorder="1" applyAlignment="1">
      <alignment wrapText="1"/>
      <protection/>
    </xf>
    <xf numFmtId="0" fontId="0" fillId="0" borderId="48" xfId="69" applyFont="1" applyBorder="1" applyAlignment="1">
      <alignment wrapText="1"/>
      <protection/>
    </xf>
    <xf numFmtId="0" fontId="0" fillId="0" borderId="48" xfId="69" applyFont="1" applyBorder="1">
      <alignment/>
      <protection/>
    </xf>
    <xf numFmtId="0" fontId="2" fillId="0" borderId="48" xfId="69" applyFont="1" applyBorder="1" applyAlignment="1">
      <alignment wrapText="1"/>
      <protection/>
    </xf>
    <xf numFmtId="0" fontId="0" fillId="0" borderId="48" xfId="69" applyFont="1" applyBorder="1">
      <alignment/>
      <protection/>
    </xf>
    <xf numFmtId="0" fontId="0" fillId="0" borderId="48" xfId="69" applyFont="1" applyBorder="1" applyAlignment="1">
      <alignment horizontal="left" wrapText="1"/>
      <protection/>
    </xf>
    <xf numFmtId="0" fontId="0" fillId="0" borderId="50" xfId="69" applyFont="1" applyBorder="1">
      <alignment/>
      <protection/>
    </xf>
    <xf numFmtId="0" fontId="11" fillId="0" borderId="64" xfId="69" applyFont="1" applyBorder="1" applyAlignment="1">
      <alignment horizontal="left"/>
      <protection/>
    </xf>
    <xf numFmtId="164" fontId="13" fillId="0" borderId="36" xfId="72" applyNumberFormat="1" applyFont="1" applyFill="1" applyBorder="1" applyAlignment="1" applyProtection="1">
      <alignment horizontal="right" vertical="center" wrapText="1" indent="1"/>
      <protection/>
    </xf>
    <xf numFmtId="164" fontId="44" fillId="0" borderId="74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4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72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73" xfId="0" applyNumberFormat="1" applyFont="1" applyFill="1" applyBorder="1" applyAlignment="1" applyProtection="1">
      <alignment vertical="center" wrapText="1"/>
      <protection locked="0"/>
    </xf>
    <xf numFmtId="164" fontId="47" fillId="0" borderId="73" xfId="0" applyNumberFormat="1" applyFont="1" applyFill="1" applyBorder="1" applyAlignment="1" applyProtection="1">
      <alignment vertical="center" wrapText="1"/>
      <protection locked="0"/>
    </xf>
    <xf numFmtId="0" fontId="0" fillId="0" borderId="48" xfId="72" applyFont="1" applyFill="1" applyBorder="1" applyProtection="1">
      <alignment/>
      <protection locked="0"/>
    </xf>
    <xf numFmtId="164" fontId="12" fillId="0" borderId="73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73" xfId="0" applyNumberFormat="1" applyFont="1" applyFill="1" applyBorder="1" applyAlignment="1" applyProtection="1">
      <alignment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164" fontId="0" fillId="0" borderId="72" xfId="0" applyNumberFormat="1" applyFont="1" applyFill="1" applyBorder="1" applyAlignment="1" applyProtection="1">
      <alignment vertical="center" wrapText="1"/>
      <protection locked="0"/>
    </xf>
    <xf numFmtId="3" fontId="68" fillId="0" borderId="48" xfId="46" applyNumberFormat="1" applyFont="1" applyFill="1" applyBorder="1" applyAlignment="1">
      <alignment vertical="center" wrapText="1"/>
    </xf>
    <xf numFmtId="0" fontId="67" fillId="0" borderId="72" xfId="0" applyFont="1" applyFill="1" applyBorder="1" applyAlignment="1">
      <alignment vertical="center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67" fillId="0" borderId="20" xfId="0" applyFont="1" applyFill="1" applyBorder="1" applyAlignment="1">
      <alignment vertical="center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0" fontId="15" fillId="0" borderId="17" xfId="72" applyFont="1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0" fillId="0" borderId="45" xfId="0" applyNumberFormat="1" applyFill="1" applyBorder="1" applyAlignment="1" applyProtection="1">
      <alignment horizontal="left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46" xfId="76" applyNumberFormat="1" applyFont="1" applyFill="1" applyBorder="1">
      <alignment/>
      <protection/>
    </xf>
    <xf numFmtId="164" fontId="15" fillId="0" borderId="32" xfId="72" applyNumberFormat="1" applyFont="1" applyFill="1" applyBorder="1" applyAlignment="1" applyProtection="1">
      <alignment horizontal="right" vertical="center" wrapText="1" indent="1"/>
      <protection/>
    </xf>
    <xf numFmtId="164" fontId="44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72" applyNumberFormat="1" applyFont="1" applyFill="1" applyBorder="1" applyAlignment="1" applyProtection="1">
      <alignment horizontal="center" vertical="center" wrapText="1"/>
      <protection/>
    </xf>
    <xf numFmtId="164" fontId="15" fillId="0" borderId="28" xfId="72" applyNumberFormat="1" applyFont="1" applyFill="1" applyBorder="1" applyAlignment="1" applyProtection="1">
      <alignment horizontal="center" vertical="center" wrapTex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72" applyNumberFormat="1" applyFont="1" applyFill="1" applyBorder="1" applyAlignment="1" applyProtection="1">
      <alignment horizontal="center" vertical="center" wrapText="1"/>
      <protection/>
    </xf>
    <xf numFmtId="164" fontId="15" fillId="0" borderId="27" xfId="72" applyNumberFormat="1" applyFont="1" applyFill="1" applyBorder="1" applyAlignment="1" applyProtection="1">
      <alignment horizontal="center" vertical="center" wrapText="1"/>
      <protection/>
    </xf>
    <xf numFmtId="164" fontId="15" fillId="0" borderId="31" xfId="72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78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17" xfId="72" applyFont="1" applyFill="1" applyBorder="1" applyAlignment="1" applyProtection="1">
      <alignment horizontal="left"/>
      <protection locked="0"/>
    </xf>
    <xf numFmtId="3" fontId="67" fillId="0" borderId="59" xfId="49" applyNumberFormat="1" applyFont="1" applyFill="1" applyBorder="1" applyAlignment="1">
      <alignment vertical="center"/>
    </xf>
    <xf numFmtId="0" fontId="67" fillId="0" borderId="59" xfId="68" applyFont="1" applyFill="1" applyBorder="1" applyAlignment="1">
      <alignment vertical="center"/>
      <protection/>
    </xf>
    <xf numFmtId="17" fontId="18" fillId="0" borderId="17" xfId="0" applyNumberFormat="1" applyFont="1" applyBorder="1" applyAlignment="1">
      <alignment horizontal="left" vertical="center" wrapText="1"/>
    </xf>
    <xf numFmtId="0" fontId="41" fillId="0" borderId="0" xfId="76" applyFont="1" applyAlignment="1">
      <alignment horizontal="right"/>
      <protection/>
    </xf>
    <xf numFmtId="0" fontId="13" fillId="0" borderId="11" xfId="76" applyFont="1" applyBorder="1" applyAlignment="1">
      <alignment horizontal="center"/>
      <protection/>
    </xf>
    <xf numFmtId="0" fontId="13" fillId="0" borderId="27" xfId="76" applyFont="1" applyBorder="1" applyAlignment="1">
      <alignment horizontal="center"/>
      <protection/>
    </xf>
    <xf numFmtId="0" fontId="15" fillId="0" borderId="17" xfId="76" applyFont="1" applyBorder="1" applyAlignment="1">
      <alignment horizontal="left"/>
      <protection/>
    </xf>
    <xf numFmtId="3" fontId="13" fillId="0" borderId="11" xfId="76" applyNumberFormat="1" applyFont="1" applyBorder="1" applyAlignment="1">
      <alignment horizontal="right"/>
      <protection/>
    </xf>
    <xf numFmtId="3" fontId="13" fillId="0" borderId="27" xfId="76" applyNumberFormat="1" applyFont="1" applyBorder="1" applyAlignment="1">
      <alignment horizontal="right"/>
      <protection/>
    </xf>
    <xf numFmtId="0" fontId="15" fillId="0" borderId="17" xfId="75" applyFont="1" applyBorder="1" applyAlignment="1">
      <alignment horizontal="left"/>
      <protection/>
    </xf>
    <xf numFmtId="3" fontId="15" fillId="0" borderId="11" xfId="46" applyNumberFormat="1" applyFont="1" applyBorder="1" applyAlignment="1" quotePrefix="1">
      <alignment horizontal="right"/>
    </xf>
    <xf numFmtId="3" fontId="13" fillId="0" borderId="27" xfId="76" applyNumberFormat="1" applyFont="1" applyBorder="1" applyAlignment="1">
      <alignment horizontal="right"/>
      <protection/>
    </xf>
    <xf numFmtId="0" fontId="0" fillId="0" borderId="21" xfId="75" applyFont="1" applyBorder="1">
      <alignment/>
      <protection/>
    </xf>
    <xf numFmtId="3" fontId="13" fillId="0" borderId="35" xfId="46" applyNumberFormat="1" applyFont="1" applyBorder="1" applyAlignment="1">
      <alignment horizontal="right"/>
    </xf>
    <xf numFmtId="3" fontId="13" fillId="0" borderId="30" xfId="46" applyNumberFormat="1" applyFont="1" applyBorder="1" applyAlignment="1">
      <alignment horizontal="right"/>
    </xf>
    <xf numFmtId="3" fontId="30" fillId="0" borderId="0" xfId="76" applyNumberFormat="1">
      <alignment/>
      <protection/>
    </xf>
    <xf numFmtId="164" fontId="13" fillId="0" borderId="68" xfId="72" applyNumberFormat="1" applyFont="1" applyFill="1" applyBorder="1" applyAlignment="1" applyProtection="1">
      <alignment horizontal="center" vertical="center" wrapText="1"/>
      <protection/>
    </xf>
    <xf numFmtId="164" fontId="13" fillId="0" borderId="48" xfId="72" applyNumberFormat="1" applyFont="1" applyFill="1" applyBorder="1" applyAlignment="1" applyProtection="1">
      <alignment horizontal="center" vertical="center" wrapText="1"/>
      <protection/>
    </xf>
    <xf numFmtId="164" fontId="13" fillId="0" borderId="69" xfId="72" applyNumberFormat="1" applyFont="1" applyFill="1" applyBorder="1" applyAlignment="1" applyProtection="1">
      <alignment horizontal="center" vertical="center" wrapText="1"/>
      <protection/>
    </xf>
    <xf numFmtId="164" fontId="15" fillId="0" borderId="6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68" xfId="72" applyNumberFormat="1" applyFont="1" applyFill="1" applyBorder="1" applyAlignment="1" applyProtection="1">
      <alignment horizontal="center" vertical="center" wrapText="1"/>
      <protection/>
    </xf>
    <xf numFmtId="164" fontId="15" fillId="0" borderId="48" xfId="72" applyNumberFormat="1" applyFont="1" applyFill="1" applyBorder="1" applyAlignment="1" applyProtection="1">
      <alignment horizontal="center" vertical="center" wrapText="1"/>
      <protection/>
    </xf>
    <xf numFmtId="164" fontId="15" fillId="0" borderId="69" xfId="72" applyNumberFormat="1" applyFont="1" applyFill="1" applyBorder="1" applyAlignment="1" applyProtection="1">
      <alignment horizontal="center" vertical="center" wrapText="1"/>
      <protection/>
    </xf>
    <xf numFmtId="3" fontId="43" fillId="0" borderId="19" xfId="70" applyNumberFormat="1" applyFont="1" applyBorder="1">
      <alignment/>
      <protection/>
    </xf>
    <xf numFmtId="3" fontId="43" fillId="0" borderId="11" xfId="70" applyNumberFormat="1" applyFont="1" applyBorder="1">
      <alignment/>
      <protection/>
    </xf>
    <xf numFmtId="164" fontId="14" fillId="0" borderId="33" xfId="72" applyNumberFormat="1" applyFont="1" applyFill="1" applyBorder="1" applyAlignment="1" applyProtection="1">
      <alignment horizontal="left" vertical="center"/>
      <protection/>
    </xf>
    <xf numFmtId="164" fontId="5" fillId="0" borderId="0" xfId="72" applyNumberFormat="1" applyFont="1" applyFill="1" applyBorder="1" applyAlignment="1" applyProtection="1">
      <alignment horizontal="center" vertical="center"/>
      <protection/>
    </xf>
    <xf numFmtId="164" fontId="14" fillId="0" borderId="33" xfId="72" applyNumberFormat="1" applyFont="1" applyFill="1" applyBorder="1" applyAlignment="1" applyProtection="1">
      <alignment horizontal="left"/>
      <protection/>
    </xf>
    <xf numFmtId="0" fontId="5" fillId="0" borderId="0" xfId="72" applyFont="1" applyFill="1" applyAlignment="1" applyProtection="1">
      <alignment horizontal="center"/>
      <protection/>
    </xf>
    <xf numFmtId="164" fontId="6" fillId="0" borderId="33" xfId="72" applyNumberFormat="1" applyFont="1" applyFill="1" applyBorder="1" applyAlignment="1" applyProtection="1">
      <alignment horizontal="center" vertical="center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/>
      <protection/>
    </xf>
    <xf numFmtId="0" fontId="13" fillId="0" borderId="13" xfId="76" applyFont="1" applyBorder="1" applyAlignment="1">
      <alignment horizontal="left"/>
      <protection/>
    </xf>
    <xf numFmtId="0" fontId="30" fillId="0" borderId="13" xfId="76" applyBorder="1" applyAlignment="1">
      <alignment horizontal="left"/>
      <protection/>
    </xf>
    <xf numFmtId="0" fontId="30" fillId="0" borderId="26" xfId="76" applyBorder="1" applyAlignment="1">
      <alignment horizontal="left"/>
      <protection/>
    </xf>
    <xf numFmtId="0" fontId="13" fillId="0" borderId="24" xfId="76" applyFont="1" applyBorder="1" applyAlignment="1">
      <alignment horizontal="center" vertical="center"/>
      <protection/>
    </xf>
    <xf numFmtId="0" fontId="13" fillId="0" borderId="16" xfId="76" applyFont="1" applyBorder="1" applyAlignment="1">
      <alignment horizontal="center" vertical="center"/>
      <protection/>
    </xf>
    <xf numFmtId="0" fontId="13" fillId="0" borderId="18" xfId="76" applyFont="1" applyBorder="1" applyAlignment="1">
      <alignment horizontal="center" vertical="center"/>
      <protection/>
    </xf>
    <xf numFmtId="0" fontId="13" fillId="0" borderId="32" xfId="76" applyFont="1" applyBorder="1" applyAlignment="1">
      <alignment horizontal="center" wrapText="1"/>
      <protection/>
    </xf>
    <xf numFmtId="0" fontId="31" fillId="0" borderId="46" xfId="73" applyFont="1" applyBorder="1" applyAlignment="1">
      <alignment wrapText="1"/>
      <protection/>
    </xf>
    <xf numFmtId="0" fontId="20" fillId="0" borderId="0" xfId="73" applyFont="1" applyFill="1" applyAlignment="1">
      <alignment horizontal="center"/>
      <protection/>
    </xf>
    <xf numFmtId="0" fontId="0" fillId="0" borderId="59" xfId="71" applyFont="1" applyBorder="1" applyAlignment="1">
      <alignment horizontal="left"/>
      <protection/>
    </xf>
    <xf numFmtId="0" fontId="0" fillId="0" borderId="60" xfId="71" applyFont="1" applyBorder="1" applyAlignment="1" quotePrefix="1">
      <alignment horizontal="left"/>
      <protection/>
    </xf>
    <xf numFmtId="0" fontId="14" fillId="0" borderId="79" xfId="74" applyFont="1" applyFill="1" applyBorder="1" applyAlignment="1" applyProtection="1">
      <alignment horizontal="left" vertical="center" indent="1"/>
      <protection/>
    </xf>
    <xf numFmtId="0" fontId="14" fillId="0" borderId="43" xfId="74" applyFont="1" applyFill="1" applyBorder="1" applyAlignment="1" applyProtection="1">
      <alignment horizontal="left" vertical="center" indent="1"/>
      <protection/>
    </xf>
    <xf numFmtId="0" fontId="14" fillId="0" borderId="51" xfId="74" applyFont="1" applyFill="1" applyBorder="1" applyAlignment="1" applyProtection="1">
      <alignment horizontal="left" vertical="center" indent="1"/>
      <protection/>
    </xf>
    <xf numFmtId="0" fontId="5" fillId="0" borderId="0" xfId="74" applyFont="1" applyFill="1" applyAlignment="1" applyProtection="1">
      <alignment horizontal="center" wrapText="1"/>
      <protection/>
    </xf>
    <xf numFmtId="0" fontId="5" fillId="0" borderId="0" xfId="74" applyFont="1" applyFill="1" applyAlignment="1" applyProtection="1">
      <alignment horizontal="center"/>
      <protection/>
    </xf>
    <xf numFmtId="0" fontId="7" fillId="0" borderId="0" xfId="69" applyFont="1" applyAlignment="1">
      <alignment horizontal="right"/>
      <protection/>
    </xf>
    <xf numFmtId="0" fontId="3" fillId="0" borderId="63" xfId="69" applyFont="1" applyBorder="1" applyAlignment="1">
      <alignment horizontal="center" vertical="center" wrapText="1"/>
      <protection/>
    </xf>
    <xf numFmtId="0" fontId="3" fillId="0" borderId="50" xfId="69" applyFont="1" applyBorder="1" applyAlignment="1">
      <alignment horizontal="center" vertical="center" wrapText="1"/>
      <protection/>
    </xf>
    <xf numFmtId="0" fontId="3" fillId="0" borderId="64" xfId="69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center" indent="2"/>
      <protection/>
    </xf>
    <xf numFmtId="0" fontId="6" fillId="0" borderId="51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70" applyFont="1" applyAlignment="1">
      <alignment horizontal="center"/>
      <protection/>
    </xf>
    <xf numFmtId="0" fontId="7" fillId="0" borderId="0" xfId="70" applyFont="1" applyAlignment="1">
      <alignment horizontal="center"/>
      <protection/>
    </xf>
    <xf numFmtId="0" fontId="5" fillId="0" borderId="20" xfId="70" applyFont="1" applyBorder="1" applyAlignment="1">
      <alignment horizontal="center"/>
      <protection/>
    </xf>
    <xf numFmtId="0" fontId="5" fillId="0" borderId="13" xfId="70" applyFont="1" applyBorder="1" applyAlignment="1">
      <alignment horizontal="center"/>
      <protection/>
    </xf>
    <xf numFmtId="0" fontId="5" fillId="0" borderId="26" xfId="70" applyFont="1" applyBorder="1" applyAlignment="1">
      <alignment horizontal="center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yperlink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Followed Hyperlink" xfId="66"/>
    <cellStyle name="Normál 2" xfId="67"/>
    <cellStyle name="Normál 3" xfId="68"/>
    <cellStyle name="Normál_2013.évi normatíva költségvetéshez" xfId="69"/>
    <cellStyle name="Normál_Göngyölített 12.13" xfId="70"/>
    <cellStyle name="Normál_költségvetési rend. mód. melléklet" xfId="71"/>
    <cellStyle name="Normál_KVRENMUNKA" xfId="72"/>
    <cellStyle name="Normál_Önkormányzati%20melléklet%202013.(1)" xfId="73"/>
    <cellStyle name="Normál_SEGEDLETEK" xfId="74"/>
    <cellStyle name="Normál_szakfeladat táblázat költségvetéshez" xfId="75"/>
    <cellStyle name="Normál_szakfeladatokhoz táblázat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zoomScaleSheetLayoutView="100" workbookViewId="0" topLeftCell="A94">
      <selection activeCell="H111" sqref="H111"/>
    </sheetView>
  </sheetViews>
  <sheetFormatPr defaultColWidth="9.00390625" defaultRowHeight="12.75"/>
  <cols>
    <col min="1" max="1" width="9.50390625" style="225" customWidth="1"/>
    <col min="2" max="2" width="91.625" style="225" customWidth="1"/>
    <col min="3" max="3" width="21.625" style="226" customWidth="1"/>
    <col min="4" max="4" width="19.375" style="236" hidden="1" customWidth="1"/>
    <col min="5" max="5" width="13.375" style="236" hidden="1" customWidth="1"/>
    <col min="6" max="6" width="15.375" style="236" hidden="1" customWidth="1"/>
    <col min="7" max="7" width="10.625" style="236" customWidth="1"/>
    <col min="8" max="16384" width="9.375" style="236" customWidth="1"/>
  </cols>
  <sheetData>
    <row r="1" spans="1:3" ht="15.75" customHeight="1">
      <c r="A1" s="735" t="s">
        <v>38</v>
      </c>
      <c r="B1" s="735"/>
      <c r="C1" s="735"/>
    </row>
    <row r="2" spans="1:3" ht="15.75" customHeight="1" thickBot="1">
      <c r="A2" s="734" t="s">
        <v>150</v>
      </c>
      <c r="B2" s="734"/>
      <c r="C2" s="158" t="s">
        <v>667</v>
      </c>
    </row>
    <row r="3" spans="1:6" ht="37.5" customHeight="1" thickBot="1">
      <c r="A3" s="22" t="s">
        <v>92</v>
      </c>
      <c r="B3" s="23" t="s">
        <v>40</v>
      </c>
      <c r="C3" s="36" t="s">
        <v>652</v>
      </c>
      <c r="D3" s="225" t="s">
        <v>694</v>
      </c>
      <c r="E3" s="225" t="s">
        <v>695</v>
      </c>
      <c r="F3" s="225" t="s">
        <v>696</v>
      </c>
    </row>
    <row r="4" spans="1:3" s="237" customFormat="1" ht="12" customHeight="1" thickBot="1">
      <c r="A4" s="231" t="s">
        <v>512</v>
      </c>
      <c r="B4" s="232" t="s">
        <v>513</v>
      </c>
      <c r="C4" s="233" t="s">
        <v>514</v>
      </c>
    </row>
    <row r="5" spans="1:6" s="238" customFormat="1" ht="12" customHeight="1" thickBot="1">
      <c r="A5" s="19" t="s">
        <v>41</v>
      </c>
      <c r="B5" s="20" t="s">
        <v>212</v>
      </c>
      <c r="C5" s="154">
        <f>SUM(C6:C11)</f>
        <v>1174961208</v>
      </c>
      <c r="D5" s="549">
        <f>+D6+D7+D8+D9+D10+D11</f>
        <v>1190343400</v>
      </c>
      <c r="E5" s="149">
        <f>+E6+E7+E8+E9+E10+E11</f>
        <v>0</v>
      </c>
      <c r="F5" s="149">
        <f>+F6+F7+F8+F9+F10+F11</f>
        <v>0</v>
      </c>
    </row>
    <row r="6" spans="1:6" s="238" customFormat="1" ht="12" customHeight="1">
      <c r="A6" s="14" t="s">
        <v>117</v>
      </c>
      <c r="B6" s="239" t="s">
        <v>213</v>
      </c>
      <c r="C6" s="697">
        <f>SUM(D6:F6)+905743</f>
        <v>228418282</v>
      </c>
      <c r="D6" s="560">
        <v>227512539</v>
      </c>
      <c r="E6" s="277"/>
      <c r="F6" s="277"/>
    </row>
    <row r="7" spans="1:6" s="238" customFormat="1" ht="12" customHeight="1">
      <c r="A7" s="13" t="s">
        <v>118</v>
      </c>
      <c r="B7" s="240" t="s">
        <v>214</v>
      </c>
      <c r="C7" s="698">
        <f aca="true" t="shared" si="0" ref="C7:C69">SUM(D7:F7)</f>
        <v>218107294</v>
      </c>
      <c r="D7" s="488">
        <v>218107294</v>
      </c>
      <c r="E7" s="153"/>
      <c r="F7" s="153"/>
    </row>
    <row r="8" spans="1:6" s="238" customFormat="1" ht="12" customHeight="1">
      <c r="A8" s="13" t="s">
        <v>119</v>
      </c>
      <c r="B8" s="240" t="s">
        <v>639</v>
      </c>
      <c r="C8" s="698">
        <f>SUM(D8:F8)-35761000</f>
        <v>505153065</v>
      </c>
      <c r="D8" s="488">
        <f>121200000+67844165+118423160+15562200+177597260+4526280+11511000+24250000</f>
        <v>540914065</v>
      </c>
      <c r="E8" s="153"/>
      <c r="F8" s="153"/>
    </row>
    <row r="9" spans="1:6" s="238" customFormat="1" ht="12" customHeight="1">
      <c r="A9" s="13" t="s">
        <v>120</v>
      </c>
      <c r="B9" s="240" t="s">
        <v>216</v>
      </c>
      <c r="C9" s="698">
        <f>SUM(D9:F9)-4412740</f>
        <v>25891320</v>
      </c>
      <c r="D9" s="488">
        <f>4412740+15262320+10629000</f>
        <v>30304060</v>
      </c>
      <c r="E9" s="153"/>
      <c r="F9" s="153"/>
    </row>
    <row r="10" spans="1:6" s="238" customFormat="1" ht="12" customHeight="1">
      <c r="A10" s="13" t="s">
        <v>147</v>
      </c>
      <c r="B10" s="145" t="s">
        <v>515</v>
      </c>
      <c r="C10" s="698">
        <f>SUM(D10:F10)+23885805</f>
        <v>197391247</v>
      </c>
      <c r="D10" s="488">
        <f>3551000+1060845+168707597+58000+128000</f>
        <v>173505442</v>
      </c>
      <c r="E10" s="153"/>
      <c r="F10" s="153"/>
    </row>
    <row r="11" spans="1:6" s="238" customFormat="1" ht="12" customHeight="1" thickBot="1">
      <c r="A11" s="15" t="s">
        <v>121</v>
      </c>
      <c r="B11" s="146" t="s">
        <v>516</v>
      </c>
      <c r="C11" s="699">
        <f t="shared" si="0"/>
        <v>0</v>
      </c>
      <c r="D11" s="135"/>
      <c r="E11" s="150"/>
      <c r="F11" s="150"/>
    </row>
    <row r="12" spans="1:6" s="238" customFormat="1" ht="12" customHeight="1" thickBot="1">
      <c r="A12" s="19" t="s">
        <v>42</v>
      </c>
      <c r="B12" s="144" t="s">
        <v>217</v>
      </c>
      <c r="C12" s="154">
        <f>SUM(C13:C17)</f>
        <v>509920588</v>
      </c>
      <c r="D12" s="549">
        <f>+D13+D14+D15+D16+D17</f>
        <v>178283000</v>
      </c>
      <c r="E12" s="149">
        <f>+E13+E14+E15+E16+E17</f>
        <v>0</v>
      </c>
      <c r="F12" s="149">
        <f>+F13+F14+F15+F16+F17</f>
        <v>5485000</v>
      </c>
    </row>
    <row r="13" spans="1:6" s="238" customFormat="1" ht="12" customHeight="1">
      <c r="A13" s="14" t="s">
        <v>123</v>
      </c>
      <c r="B13" s="239" t="s">
        <v>218</v>
      </c>
      <c r="C13" s="697">
        <f t="shared" si="0"/>
        <v>0</v>
      </c>
      <c r="D13" s="552"/>
      <c r="E13" s="151"/>
      <c r="F13" s="151"/>
    </row>
    <row r="14" spans="1:6" s="238" customFormat="1" ht="12" customHeight="1">
      <c r="A14" s="13" t="s">
        <v>124</v>
      </c>
      <c r="B14" s="240" t="s">
        <v>219</v>
      </c>
      <c r="C14" s="698">
        <f t="shared" si="0"/>
        <v>0</v>
      </c>
      <c r="D14" s="135"/>
      <c r="E14" s="150"/>
      <c r="F14" s="150"/>
    </row>
    <row r="15" spans="1:6" s="238" customFormat="1" ht="12" customHeight="1">
      <c r="A15" s="13" t="s">
        <v>125</v>
      </c>
      <c r="B15" s="240" t="s">
        <v>388</v>
      </c>
      <c r="C15" s="698">
        <f t="shared" si="0"/>
        <v>0</v>
      </c>
      <c r="D15" s="135"/>
      <c r="E15" s="150"/>
      <c r="F15" s="150"/>
    </row>
    <row r="16" spans="1:6" s="238" customFormat="1" ht="12" customHeight="1">
      <c r="A16" s="13" t="s">
        <v>126</v>
      </c>
      <c r="B16" s="240" t="s">
        <v>389</v>
      </c>
      <c r="C16" s="698">
        <f t="shared" si="0"/>
        <v>0</v>
      </c>
      <c r="D16" s="135"/>
      <c r="E16" s="150"/>
      <c r="F16" s="150"/>
    </row>
    <row r="17" spans="1:6" s="238" customFormat="1" ht="12" customHeight="1">
      <c r="A17" s="13" t="s">
        <v>127</v>
      </c>
      <c r="B17" s="240" t="s">
        <v>220</v>
      </c>
      <c r="C17" s="698">
        <f>SUM(D17:F17)+326152588</f>
        <v>509920588</v>
      </c>
      <c r="D17" s="500">
        <f>2285000+210000+110446000+65342000</f>
        <v>178283000</v>
      </c>
      <c r="E17" s="492"/>
      <c r="F17" s="153">
        <v>5485000</v>
      </c>
    </row>
    <row r="18" spans="1:6" s="238" customFormat="1" ht="12" customHeight="1" thickBot="1">
      <c r="A18" s="15" t="s">
        <v>136</v>
      </c>
      <c r="B18" s="146" t="s">
        <v>221</v>
      </c>
      <c r="C18" s="699">
        <f t="shared" si="0"/>
        <v>0</v>
      </c>
      <c r="D18" s="499"/>
      <c r="E18" s="228"/>
      <c r="F18" s="228"/>
    </row>
    <row r="19" spans="1:6" s="238" customFormat="1" ht="12" customHeight="1" thickBot="1">
      <c r="A19" s="19" t="s">
        <v>43</v>
      </c>
      <c r="B19" s="20" t="s">
        <v>222</v>
      </c>
      <c r="C19" s="154">
        <f>SUM(C20:C24)</f>
        <v>18976576</v>
      </c>
      <c r="D19" s="549">
        <f>+D20+D21+D22+D23+D24</f>
        <v>3797300</v>
      </c>
      <c r="E19" s="149">
        <f>+E20+E21+E22+E23+E24</f>
        <v>0</v>
      </c>
      <c r="F19" s="149">
        <f>+F20+F21+F22+F23+F24</f>
        <v>0</v>
      </c>
    </row>
    <row r="20" spans="1:6" s="238" customFormat="1" ht="12" customHeight="1">
      <c r="A20" s="14" t="s">
        <v>106</v>
      </c>
      <c r="B20" s="239" t="s">
        <v>223</v>
      </c>
      <c r="C20" s="697">
        <f t="shared" si="0"/>
        <v>0</v>
      </c>
      <c r="D20" s="639"/>
      <c r="E20" s="486"/>
      <c r="F20" s="486"/>
    </row>
    <row r="21" spans="1:6" s="238" customFormat="1" ht="12" customHeight="1">
      <c r="A21" s="13" t="s">
        <v>107</v>
      </c>
      <c r="B21" s="240" t="s">
        <v>224</v>
      </c>
      <c r="C21" s="698">
        <f t="shared" si="0"/>
        <v>0</v>
      </c>
      <c r="D21" s="488"/>
      <c r="E21" s="153"/>
      <c r="F21" s="153"/>
    </row>
    <row r="22" spans="1:6" s="238" customFormat="1" ht="12" customHeight="1">
      <c r="A22" s="13" t="s">
        <v>108</v>
      </c>
      <c r="B22" s="240" t="s">
        <v>390</v>
      </c>
      <c r="C22" s="698">
        <f t="shared" si="0"/>
        <v>0</v>
      </c>
      <c r="D22" s="488"/>
      <c r="E22" s="153"/>
      <c r="F22" s="153"/>
    </row>
    <row r="23" spans="1:6" s="238" customFormat="1" ht="12" customHeight="1">
      <c r="A23" s="13" t="s">
        <v>109</v>
      </c>
      <c r="B23" s="240" t="s">
        <v>391</v>
      </c>
      <c r="C23" s="698">
        <f t="shared" si="0"/>
        <v>0</v>
      </c>
      <c r="D23" s="488"/>
      <c r="E23" s="153"/>
      <c r="F23" s="153"/>
    </row>
    <row r="24" spans="1:6" s="238" customFormat="1" ht="12" customHeight="1">
      <c r="A24" s="13" t="s">
        <v>159</v>
      </c>
      <c r="B24" s="240" t="s">
        <v>225</v>
      </c>
      <c r="C24" s="698">
        <f>SUM(D24:F24)+15179276</f>
        <v>18976576</v>
      </c>
      <c r="D24" s="488">
        <f>3797300</f>
        <v>3797300</v>
      </c>
      <c r="E24" s="153"/>
      <c r="F24" s="153"/>
    </row>
    <row r="25" spans="1:6" s="238" customFormat="1" ht="12" customHeight="1" thickBot="1">
      <c r="A25" s="15" t="s">
        <v>160</v>
      </c>
      <c r="B25" s="241" t="s">
        <v>226</v>
      </c>
      <c r="C25" s="699">
        <f t="shared" si="0"/>
        <v>3797300</v>
      </c>
      <c r="D25" s="499">
        <v>3797300</v>
      </c>
      <c r="E25" s="228"/>
      <c r="F25" s="228"/>
    </row>
    <row r="26" spans="1:6" s="238" customFormat="1" ht="12" customHeight="1" thickBot="1">
      <c r="A26" s="19" t="s">
        <v>161</v>
      </c>
      <c r="B26" s="20" t="s">
        <v>227</v>
      </c>
      <c r="C26" s="154">
        <f>SUM(C27)+SUM(C30:C33)</f>
        <v>319390000</v>
      </c>
      <c r="D26" s="556">
        <f>+D27+D31+D32+D33</f>
        <v>319390000</v>
      </c>
      <c r="E26" s="154">
        <f>+E27+E31+E32+E33</f>
        <v>0</v>
      </c>
      <c r="F26" s="154">
        <f>+F27+F31+F32+F33</f>
        <v>0</v>
      </c>
    </row>
    <row r="27" spans="1:6" s="238" customFormat="1" ht="12" customHeight="1">
      <c r="A27" s="14" t="s">
        <v>228</v>
      </c>
      <c r="B27" s="239" t="s">
        <v>517</v>
      </c>
      <c r="C27" s="697">
        <f>SUM(C28:C29)</f>
        <v>282830000</v>
      </c>
      <c r="D27" s="640">
        <f>SUM(D28:D30)</f>
        <v>282830000</v>
      </c>
      <c r="E27" s="234"/>
      <c r="F27" s="234"/>
    </row>
    <row r="28" spans="1:6" s="238" customFormat="1" ht="12" customHeight="1">
      <c r="A28" s="13" t="s">
        <v>229</v>
      </c>
      <c r="B28" s="240" t="s">
        <v>234</v>
      </c>
      <c r="C28" s="698">
        <f t="shared" si="0"/>
        <v>78990000</v>
      </c>
      <c r="D28" s="135">
        <f>8990000+70000000</f>
        <v>78990000</v>
      </c>
      <c r="E28" s="150"/>
      <c r="F28" s="150"/>
    </row>
    <row r="29" spans="1:6" s="238" customFormat="1" ht="12" customHeight="1">
      <c r="A29" s="13" t="s">
        <v>230</v>
      </c>
      <c r="B29" s="240" t="s">
        <v>615</v>
      </c>
      <c r="C29" s="698">
        <f t="shared" si="0"/>
        <v>203840000</v>
      </c>
      <c r="D29" s="135">
        <v>203840000</v>
      </c>
      <c r="E29" s="150"/>
      <c r="F29" s="150"/>
    </row>
    <row r="30" spans="1:6" s="238" customFormat="1" ht="12" customHeight="1">
      <c r="A30" s="13" t="s">
        <v>231</v>
      </c>
      <c r="B30" s="240" t="s">
        <v>616</v>
      </c>
      <c r="C30" s="698">
        <f t="shared" si="0"/>
        <v>0</v>
      </c>
      <c r="D30" s="488"/>
      <c r="E30" s="153"/>
      <c r="F30" s="153"/>
    </row>
    <row r="31" spans="1:6" s="238" customFormat="1" ht="12" customHeight="1">
      <c r="A31" s="13" t="s">
        <v>617</v>
      </c>
      <c r="B31" s="240" t="s">
        <v>236</v>
      </c>
      <c r="C31" s="698">
        <f t="shared" si="0"/>
        <v>27000000</v>
      </c>
      <c r="D31" s="135">
        <f>27000000</f>
        <v>27000000</v>
      </c>
      <c r="E31" s="150"/>
      <c r="F31" s="150"/>
    </row>
    <row r="32" spans="1:6" s="238" customFormat="1" ht="12" customHeight="1">
      <c r="A32" s="13" t="s">
        <v>233</v>
      </c>
      <c r="B32" s="240" t="s">
        <v>237</v>
      </c>
      <c r="C32" s="698">
        <f>SUM(D32:F32)-4000000</f>
        <v>60000</v>
      </c>
      <c r="D32" s="135">
        <v>4060000</v>
      </c>
      <c r="E32" s="150"/>
      <c r="F32" s="150"/>
    </row>
    <row r="33" spans="1:6" s="238" customFormat="1" ht="12" customHeight="1" thickBot="1">
      <c r="A33" s="15" t="s">
        <v>618</v>
      </c>
      <c r="B33" s="241" t="s">
        <v>238</v>
      </c>
      <c r="C33" s="699">
        <f>SUM(D33:F33)+4000000</f>
        <v>9500000</v>
      </c>
      <c r="D33" s="499">
        <v>5500000</v>
      </c>
      <c r="E33" s="228"/>
      <c r="F33" s="228"/>
    </row>
    <row r="34" spans="1:6" s="238" customFormat="1" ht="12" customHeight="1" thickBot="1">
      <c r="A34" s="19" t="s">
        <v>45</v>
      </c>
      <c r="B34" s="20" t="s">
        <v>520</v>
      </c>
      <c r="C34" s="154">
        <f>SUM(C35:C45)</f>
        <v>448054678</v>
      </c>
      <c r="D34" s="549">
        <f>SUM(D35:D45)</f>
        <v>48800000</v>
      </c>
      <c r="E34" s="149">
        <f>SUM(E35:E45)</f>
        <v>9416500</v>
      </c>
      <c r="F34" s="149">
        <f>SUM(F35:F45)</f>
        <v>389838178</v>
      </c>
    </row>
    <row r="35" spans="1:6" s="238" customFormat="1" ht="12" customHeight="1">
      <c r="A35" s="14" t="s">
        <v>110</v>
      </c>
      <c r="B35" s="239" t="s">
        <v>241</v>
      </c>
      <c r="C35" s="697">
        <f t="shared" si="0"/>
        <v>13087000</v>
      </c>
      <c r="D35" s="560">
        <f>3937000+4000000+5000000</f>
        <v>12937000</v>
      </c>
      <c r="E35" s="277"/>
      <c r="F35" s="277">
        <v>150000</v>
      </c>
    </row>
    <row r="36" spans="1:6" s="238" customFormat="1" ht="12" customHeight="1">
      <c r="A36" s="13" t="s">
        <v>111</v>
      </c>
      <c r="B36" s="240" t="s">
        <v>242</v>
      </c>
      <c r="C36" s="698">
        <f t="shared" si="0"/>
        <v>87991338</v>
      </c>
      <c r="D36" s="488">
        <f>100000+12004000+160000</f>
        <v>12264000</v>
      </c>
      <c r="E36" s="153">
        <v>7533500</v>
      </c>
      <c r="F36" s="277">
        <v>68193838</v>
      </c>
    </row>
    <row r="37" spans="1:6" s="238" customFormat="1" ht="12" customHeight="1">
      <c r="A37" s="13" t="s">
        <v>112</v>
      </c>
      <c r="B37" s="240" t="s">
        <v>243</v>
      </c>
      <c r="C37" s="698">
        <f t="shared" si="0"/>
        <v>95623340</v>
      </c>
      <c r="D37" s="488">
        <f>8458000+947000</f>
        <v>9405000</v>
      </c>
      <c r="E37" s="153">
        <v>500000</v>
      </c>
      <c r="F37" s="277">
        <v>85718340</v>
      </c>
    </row>
    <row r="38" spans="1:6" s="238" customFormat="1" ht="12" customHeight="1">
      <c r="A38" s="13" t="s">
        <v>163</v>
      </c>
      <c r="B38" s="240" t="s">
        <v>244</v>
      </c>
      <c r="C38" s="698">
        <f t="shared" si="0"/>
        <v>430000</v>
      </c>
      <c r="D38" s="488">
        <f>430000</f>
        <v>430000</v>
      </c>
      <c r="E38" s="153"/>
      <c r="F38" s="277"/>
    </row>
    <row r="39" spans="1:6" s="238" customFormat="1" ht="12" customHeight="1">
      <c r="A39" s="13" t="s">
        <v>164</v>
      </c>
      <c r="B39" s="240" t="s">
        <v>245</v>
      </c>
      <c r="C39" s="698">
        <f t="shared" si="0"/>
        <v>182811402</v>
      </c>
      <c r="D39" s="488"/>
      <c r="E39" s="153"/>
      <c r="F39" s="277">
        <v>182811402</v>
      </c>
    </row>
    <row r="40" spans="1:6" s="238" customFormat="1" ht="12" customHeight="1">
      <c r="A40" s="13" t="s">
        <v>165</v>
      </c>
      <c r="B40" s="240" t="s">
        <v>246</v>
      </c>
      <c r="C40" s="698">
        <f t="shared" si="0"/>
        <v>45733598</v>
      </c>
      <c r="D40" s="488">
        <f>1063000+3242000+5853000+44000+378000+600000+1350000</f>
        <v>12530000</v>
      </c>
      <c r="E40" s="153">
        <v>1283000</v>
      </c>
      <c r="F40" s="277">
        <v>31920598</v>
      </c>
    </row>
    <row r="41" spans="1:6" s="238" customFormat="1" ht="12" customHeight="1">
      <c r="A41" s="13" t="s">
        <v>166</v>
      </c>
      <c r="B41" s="240" t="s">
        <v>247</v>
      </c>
      <c r="C41" s="698">
        <f t="shared" si="0"/>
        <v>21034000</v>
      </c>
      <c r="D41" s="488"/>
      <c r="E41" s="153"/>
      <c r="F41" s="277">
        <v>21034000</v>
      </c>
    </row>
    <row r="42" spans="1:6" s="238" customFormat="1" ht="12" customHeight="1">
      <c r="A42" s="13" t="s">
        <v>167</v>
      </c>
      <c r="B42" s="240" t="s">
        <v>636</v>
      </c>
      <c r="C42" s="698">
        <f t="shared" si="0"/>
        <v>40000</v>
      </c>
      <c r="D42" s="488">
        <v>30000</v>
      </c>
      <c r="E42" s="153"/>
      <c r="F42" s="277">
        <v>10000</v>
      </c>
    </row>
    <row r="43" spans="1:6" s="238" customFormat="1" ht="12" customHeight="1">
      <c r="A43" s="13" t="s">
        <v>239</v>
      </c>
      <c r="B43" s="240" t="s">
        <v>249</v>
      </c>
      <c r="C43" s="698">
        <f t="shared" si="0"/>
        <v>0</v>
      </c>
      <c r="D43" s="488"/>
      <c r="E43" s="153"/>
      <c r="F43" s="277"/>
    </row>
    <row r="44" spans="1:6" s="238" customFormat="1" ht="12" customHeight="1">
      <c r="A44" s="15" t="s">
        <v>240</v>
      </c>
      <c r="B44" s="241" t="s">
        <v>521</v>
      </c>
      <c r="C44" s="698">
        <f t="shared" si="0"/>
        <v>500000</v>
      </c>
      <c r="D44" s="499">
        <f>500000</f>
        <v>500000</v>
      </c>
      <c r="E44" s="228"/>
      <c r="F44" s="277"/>
    </row>
    <row r="45" spans="1:6" s="238" customFormat="1" ht="12" customHeight="1" thickBot="1">
      <c r="A45" s="15" t="s">
        <v>522</v>
      </c>
      <c r="B45" s="146" t="s">
        <v>250</v>
      </c>
      <c r="C45" s="699">
        <f t="shared" si="0"/>
        <v>804000</v>
      </c>
      <c r="D45" s="499">
        <f>704000</f>
        <v>704000</v>
      </c>
      <c r="E45" s="228">
        <v>100000</v>
      </c>
      <c r="F45" s="277"/>
    </row>
    <row r="46" spans="1:6" s="238" customFormat="1" ht="12" customHeight="1" thickBot="1">
      <c r="A46" s="19" t="s">
        <v>46</v>
      </c>
      <c r="B46" s="20" t="s">
        <v>251</v>
      </c>
      <c r="C46" s="154">
        <f>SUM(C47:C51)</f>
        <v>25179000</v>
      </c>
      <c r="D46" s="549">
        <f>SUM(D47:D51)</f>
        <v>25179000</v>
      </c>
      <c r="E46" s="149">
        <f>SUM(E47:E51)</f>
        <v>0</v>
      </c>
      <c r="F46" s="149">
        <f>SUM(F47:F51)</f>
        <v>0</v>
      </c>
    </row>
    <row r="47" spans="1:6" s="238" customFormat="1" ht="12" customHeight="1">
      <c r="A47" s="14" t="s">
        <v>113</v>
      </c>
      <c r="B47" s="239" t="s">
        <v>255</v>
      </c>
      <c r="C47" s="697">
        <f t="shared" si="0"/>
        <v>0</v>
      </c>
      <c r="D47" s="560"/>
      <c r="E47" s="277"/>
      <c r="F47" s="277"/>
    </row>
    <row r="48" spans="1:6" s="238" customFormat="1" ht="12" customHeight="1">
      <c r="A48" s="13" t="s">
        <v>114</v>
      </c>
      <c r="B48" s="240" t="s">
        <v>256</v>
      </c>
      <c r="C48" s="698">
        <f t="shared" si="0"/>
        <v>25179000</v>
      </c>
      <c r="D48" s="488">
        <f>25179000</f>
        <v>25179000</v>
      </c>
      <c r="E48" s="153"/>
      <c r="F48" s="153"/>
    </row>
    <row r="49" spans="1:6" s="238" customFormat="1" ht="12" customHeight="1">
      <c r="A49" s="13" t="s">
        <v>252</v>
      </c>
      <c r="B49" s="240" t="s">
        <v>257</v>
      </c>
      <c r="C49" s="698">
        <f t="shared" si="0"/>
        <v>0</v>
      </c>
      <c r="D49" s="488"/>
      <c r="E49" s="153"/>
      <c r="F49" s="153"/>
    </row>
    <row r="50" spans="1:6" s="238" customFormat="1" ht="12" customHeight="1">
      <c r="A50" s="13" t="s">
        <v>253</v>
      </c>
      <c r="B50" s="240" t="s">
        <v>258</v>
      </c>
      <c r="C50" s="698">
        <f t="shared" si="0"/>
        <v>0</v>
      </c>
      <c r="D50" s="488"/>
      <c r="E50" s="153"/>
      <c r="F50" s="153"/>
    </row>
    <row r="51" spans="1:6" s="238" customFormat="1" ht="12" customHeight="1" thickBot="1">
      <c r="A51" s="15" t="s">
        <v>254</v>
      </c>
      <c r="B51" s="146" t="s">
        <v>259</v>
      </c>
      <c r="C51" s="699">
        <f t="shared" si="0"/>
        <v>0</v>
      </c>
      <c r="D51" s="499"/>
      <c r="E51" s="228"/>
      <c r="F51" s="228"/>
    </row>
    <row r="52" spans="1:6" s="238" customFormat="1" ht="12" customHeight="1" thickBot="1">
      <c r="A52" s="19" t="s">
        <v>168</v>
      </c>
      <c r="B52" s="20" t="s">
        <v>260</v>
      </c>
      <c r="C52" s="154">
        <f>SUM(C53:C55)</f>
        <v>6024000</v>
      </c>
      <c r="D52" s="549">
        <f>SUM(D53:D55)</f>
        <v>6024000</v>
      </c>
      <c r="E52" s="149">
        <f>SUM(E53:E55)</f>
        <v>0</v>
      </c>
      <c r="F52" s="149">
        <f>SUM(F53:F55)</f>
        <v>0</v>
      </c>
    </row>
    <row r="53" spans="1:6" s="238" customFormat="1" ht="12" customHeight="1">
      <c r="A53" s="14" t="s">
        <v>115</v>
      </c>
      <c r="B53" s="239" t="s">
        <v>261</v>
      </c>
      <c r="C53" s="697">
        <f t="shared" si="0"/>
        <v>0</v>
      </c>
      <c r="D53" s="552"/>
      <c r="E53" s="151"/>
      <c r="F53" s="151"/>
    </row>
    <row r="54" spans="1:6" s="238" customFormat="1" ht="12" customHeight="1">
      <c r="A54" s="13" t="s">
        <v>116</v>
      </c>
      <c r="B54" s="240" t="s">
        <v>392</v>
      </c>
      <c r="C54" s="698">
        <f t="shared" si="0"/>
        <v>1949000</v>
      </c>
      <c r="D54" s="488">
        <f>383000+1566000</f>
        <v>1949000</v>
      </c>
      <c r="E54" s="153"/>
      <c r="F54" s="153"/>
    </row>
    <row r="55" spans="1:6" s="238" customFormat="1" ht="12" customHeight="1">
      <c r="A55" s="13" t="s">
        <v>264</v>
      </c>
      <c r="B55" s="240" t="s">
        <v>262</v>
      </c>
      <c r="C55" s="698">
        <f t="shared" si="0"/>
        <v>4075000</v>
      </c>
      <c r="D55" s="488">
        <f>4075000</f>
        <v>4075000</v>
      </c>
      <c r="E55" s="153"/>
      <c r="F55" s="153"/>
    </row>
    <row r="56" spans="1:6" s="238" customFormat="1" ht="12" customHeight="1" thickBot="1">
      <c r="A56" s="15" t="s">
        <v>265</v>
      </c>
      <c r="B56" s="146" t="s">
        <v>263</v>
      </c>
      <c r="C56" s="699">
        <f t="shared" si="0"/>
        <v>0</v>
      </c>
      <c r="D56" s="136"/>
      <c r="E56" s="152"/>
      <c r="F56" s="152"/>
    </row>
    <row r="57" spans="1:6" s="238" customFormat="1" ht="12" customHeight="1" thickBot="1">
      <c r="A57" s="19" t="s">
        <v>48</v>
      </c>
      <c r="B57" s="144" t="s">
        <v>266</v>
      </c>
      <c r="C57" s="154">
        <f>SUM(C58:C60)</f>
        <v>0</v>
      </c>
      <c r="D57" s="549">
        <f>SUM(D58:D60)</f>
        <v>0</v>
      </c>
      <c r="E57" s="149">
        <f>SUM(E58:E60)</f>
        <v>0</v>
      </c>
      <c r="F57" s="149">
        <f>SUM(F58:F60)</f>
        <v>0</v>
      </c>
    </row>
    <row r="58" spans="1:6" s="238" customFormat="1" ht="12" customHeight="1">
      <c r="A58" s="14" t="s">
        <v>169</v>
      </c>
      <c r="B58" s="239" t="s">
        <v>268</v>
      </c>
      <c r="C58" s="697">
        <f t="shared" si="0"/>
        <v>0</v>
      </c>
      <c r="D58" s="488"/>
      <c r="E58" s="153"/>
      <c r="F58" s="153"/>
    </row>
    <row r="59" spans="1:6" s="238" customFormat="1" ht="12" customHeight="1">
      <c r="A59" s="13" t="s">
        <v>170</v>
      </c>
      <c r="B59" s="240" t="s">
        <v>393</v>
      </c>
      <c r="C59" s="698">
        <f t="shared" si="0"/>
        <v>0</v>
      </c>
      <c r="D59" s="488"/>
      <c r="E59" s="153"/>
      <c r="F59" s="153"/>
    </row>
    <row r="60" spans="1:6" s="238" customFormat="1" ht="12" customHeight="1">
      <c r="A60" s="13" t="s">
        <v>192</v>
      </c>
      <c r="B60" s="240" t="s">
        <v>269</v>
      </c>
      <c r="C60" s="698">
        <f t="shared" si="0"/>
        <v>0</v>
      </c>
      <c r="D60" s="488"/>
      <c r="E60" s="153"/>
      <c r="F60" s="153"/>
    </row>
    <row r="61" spans="1:6" s="238" customFormat="1" ht="12" customHeight="1" thickBot="1">
      <c r="A61" s="15" t="s">
        <v>267</v>
      </c>
      <c r="B61" s="146" t="s">
        <v>270</v>
      </c>
      <c r="C61" s="699">
        <f t="shared" si="0"/>
        <v>0</v>
      </c>
      <c r="D61" s="488"/>
      <c r="E61" s="153"/>
      <c r="F61" s="153"/>
    </row>
    <row r="62" spans="1:6" s="238" customFormat="1" ht="12" customHeight="1" thickBot="1">
      <c r="A62" s="464" t="s">
        <v>523</v>
      </c>
      <c r="B62" s="20" t="s">
        <v>271</v>
      </c>
      <c r="C62" s="154">
        <f>C57+C52+C46+C34+C26+C19+C12+C5</f>
        <v>2502506050</v>
      </c>
      <c r="D62" s="556">
        <f>+D5+D12+D19+D26+D34+D46+D52+D57</f>
        <v>1771816700</v>
      </c>
      <c r="E62" s="154">
        <f>+E5+E12+E19+E26+E34+E46+E52+E57</f>
        <v>9416500</v>
      </c>
      <c r="F62" s="154">
        <f>+F5+F12+F19+F26+F34+F46+F52+F57</f>
        <v>395323178</v>
      </c>
    </row>
    <row r="63" spans="1:6" s="238" customFormat="1" ht="12" customHeight="1" thickBot="1">
      <c r="A63" s="465" t="s">
        <v>272</v>
      </c>
      <c r="B63" s="144" t="s">
        <v>273</v>
      </c>
      <c r="C63" s="694">
        <f>SUM(C64:C66)</f>
        <v>144100000</v>
      </c>
      <c r="D63" s="549">
        <f>SUM(D64:D66)</f>
        <v>144100000</v>
      </c>
      <c r="E63" s="149">
        <f>SUM(E64:E66)</f>
        <v>0</v>
      </c>
      <c r="F63" s="149">
        <f>SUM(F64:F66)</f>
        <v>0</v>
      </c>
    </row>
    <row r="64" spans="1:6" s="238" customFormat="1" ht="12" customHeight="1">
      <c r="A64" s="14" t="s">
        <v>304</v>
      </c>
      <c r="B64" s="239" t="s">
        <v>274</v>
      </c>
      <c r="C64" s="697">
        <f t="shared" si="0"/>
        <v>44100000</v>
      </c>
      <c r="D64" s="488">
        <v>44100000</v>
      </c>
      <c r="E64" s="153"/>
      <c r="F64" s="153"/>
    </row>
    <row r="65" spans="1:6" s="238" customFormat="1" ht="12" customHeight="1">
      <c r="A65" s="13" t="s">
        <v>313</v>
      </c>
      <c r="B65" s="240" t="s">
        <v>275</v>
      </c>
      <c r="C65" s="698">
        <f t="shared" si="0"/>
        <v>100000000</v>
      </c>
      <c r="D65" s="488">
        <v>100000000</v>
      </c>
      <c r="E65" s="153"/>
      <c r="F65" s="153"/>
    </row>
    <row r="66" spans="1:6" s="238" customFormat="1" ht="12" customHeight="1" thickBot="1">
      <c r="A66" s="15" t="s">
        <v>314</v>
      </c>
      <c r="B66" s="466" t="s">
        <v>524</v>
      </c>
      <c r="C66" s="699">
        <f t="shared" si="0"/>
        <v>0</v>
      </c>
      <c r="D66" s="488"/>
      <c r="E66" s="153"/>
      <c r="F66" s="153"/>
    </row>
    <row r="67" spans="1:6" s="238" customFormat="1" ht="12" customHeight="1" thickBot="1">
      <c r="A67" s="465" t="s">
        <v>277</v>
      </c>
      <c r="B67" s="144" t="s">
        <v>278</v>
      </c>
      <c r="C67" s="491">
        <f>SUM(C68:C71)</f>
        <v>0</v>
      </c>
      <c r="D67" s="549">
        <f>SUM(D68:D71)</f>
        <v>0</v>
      </c>
      <c r="E67" s="149">
        <f>SUM(E68:E71)</f>
        <v>0</v>
      </c>
      <c r="F67" s="149">
        <f>SUM(F68:F71)</f>
        <v>0</v>
      </c>
    </row>
    <row r="68" spans="1:6" s="238" customFormat="1" ht="12" customHeight="1">
      <c r="A68" s="14" t="s">
        <v>148</v>
      </c>
      <c r="B68" s="239" t="s">
        <v>279</v>
      </c>
      <c r="C68" s="697">
        <f t="shared" si="0"/>
        <v>0</v>
      </c>
      <c r="D68" s="488"/>
      <c r="E68" s="153"/>
      <c r="F68" s="153"/>
    </row>
    <row r="69" spans="1:6" s="238" customFormat="1" ht="12" customHeight="1">
      <c r="A69" s="13" t="s">
        <v>149</v>
      </c>
      <c r="B69" s="240" t="s">
        <v>280</v>
      </c>
      <c r="C69" s="698">
        <f t="shared" si="0"/>
        <v>0</v>
      </c>
      <c r="D69" s="488"/>
      <c r="E69" s="153"/>
      <c r="F69" s="153"/>
    </row>
    <row r="70" spans="1:6" s="238" customFormat="1" ht="12" customHeight="1">
      <c r="A70" s="13" t="s">
        <v>305</v>
      </c>
      <c r="B70" s="240" t="s">
        <v>281</v>
      </c>
      <c r="C70" s="698">
        <f aca="true" t="shared" si="1" ref="C70:C85">SUM(D70:F70)</f>
        <v>0</v>
      </c>
      <c r="D70" s="488"/>
      <c r="E70" s="153"/>
      <c r="F70" s="153"/>
    </row>
    <row r="71" spans="1:6" s="238" customFormat="1" ht="12" customHeight="1" thickBot="1">
      <c r="A71" s="15" t="s">
        <v>306</v>
      </c>
      <c r="B71" s="146" t="s">
        <v>282</v>
      </c>
      <c r="C71" s="699">
        <f t="shared" si="1"/>
        <v>0</v>
      </c>
      <c r="D71" s="488"/>
      <c r="E71" s="153"/>
      <c r="F71" s="153"/>
    </row>
    <row r="72" spans="1:6" s="238" customFormat="1" ht="12" customHeight="1" thickBot="1">
      <c r="A72" s="465" t="s">
        <v>283</v>
      </c>
      <c r="B72" s="144" t="s">
        <v>284</v>
      </c>
      <c r="C72" s="154">
        <f>SUM(C73:C74)</f>
        <v>292999415</v>
      </c>
      <c r="D72" s="549">
        <f>SUM(D73:D74)</f>
        <v>289331423</v>
      </c>
      <c r="E72" s="149">
        <f>SUM(E73:E74)</f>
        <v>447404</v>
      </c>
      <c r="F72" s="149">
        <f>SUM(F73:F74)</f>
        <v>3220588</v>
      </c>
    </row>
    <row r="73" spans="1:6" s="238" customFormat="1" ht="12" customHeight="1">
      <c r="A73" s="14" t="s">
        <v>307</v>
      </c>
      <c r="B73" s="239" t="s">
        <v>285</v>
      </c>
      <c r="C73" s="697">
        <f t="shared" si="1"/>
        <v>292999415</v>
      </c>
      <c r="D73" s="488">
        <v>289331423</v>
      </c>
      <c r="E73" s="153">
        <v>447404</v>
      </c>
      <c r="F73" s="153">
        <v>3220588</v>
      </c>
    </row>
    <row r="74" spans="1:6" s="238" customFormat="1" ht="12" customHeight="1" thickBot="1">
      <c r="A74" s="15" t="s">
        <v>308</v>
      </c>
      <c r="B74" s="146" t="s">
        <v>286</v>
      </c>
      <c r="C74" s="699">
        <f t="shared" si="1"/>
        <v>0</v>
      </c>
      <c r="D74" s="488"/>
      <c r="E74" s="153"/>
      <c r="F74" s="153"/>
    </row>
    <row r="75" spans="1:6" s="238" customFormat="1" ht="12" customHeight="1" thickBot="1">
      <c r="A75" s="465" t="s">
        <v>287</v>
      </c>
      <c r="B75" s="144" t="s">
        <v>288</v>
      </c>
      <c r="C75" s="491">
        <f>SUM(C76:C78)</f>
        <v>0</v>
      </c>
      <c r="D75" s="549">
        <f>SUM(D76:D78)</f>
        <v>0</v>
      </c>
      <c r="E75" s="149">
        <f>SUM(E76:E78)</f>
        <v>0</v>
      </c>
      <c r="F75" s="149">
        <f>SUM(F76:F78)</f>
        <v>0</v>
      </c>
    </row>
    <row r="76" spans="1:6" s="238" customFormat="1" ht="12" customHeight="1">
      <c r="A76" s="14" t="s">
        <v>309</v>
      </c>
      <c r="B76" s="239" t="s">
        <v>289</v>
      </c>
      <c r="C76" s="697">
        <f t="shared" si="1"/>
        <v>0</v>
      </c>
      <c r="D76" s="488"/>
      <c r="E76" s="153"/>
      <c r="F76" s="153"/>
    </row>
    <row r="77" spans="1:6" s="238" customFormat="1" ht="12" customHeight="1">
      <c r="A77" s="13" t="s">
        <v>310</v>
      </c>
      <c r="B77" s="240" t="s">
        <v>290</v>
      </c>
      <c r="C77" s="698">
        <f t="shared" si="1"/>
        <v>0</v>
      </c>
      <c r="D77" s="488"/>
      <c r="E77" s="153"/>
      <c r="F77" s="153"/>
    </row>
    <row r="78" spans="1:6" s="238" customFormat="1" ht="12" customHeight="1" thickBot="1">
      <c r="A78" s="15" t="s">
        <v>311</v>
      </c>
      <c r="B78" s="146" t="s">
        <v>291</v>
      </c>
      <c r="C78" s="699">
        <f t="shared" si="1"/>
        <v>0</v>
      </c>
      <c r="D78" s="488"/>
      <c r="E78" s="153"/>
      <c r="F78" s="153"/>
    </row>
    <row r="79" spans="1:6" s="238" customFormat="1" ht="12" customHeight="1" thickBot="1">
      <c r="A79" s="465" t="s">
        <v>292</v>
      </c>
      <c r="B79" s="144" t="s">
        <v>312</v>
      </c>
      <c r="C79" s="491">
        <f>SUM(C80:C83)</f>
        <v>0</v>
      </c>
      <c r="D79" s="549">
        <f>SUM(D80:D83)</f>
        <v>0</v>
      </c>
      <c r="E79" s="149">
        <f>SUM(E80:E83)</f>
        <v>0</v>
      </c>
      <c r="F79" s="149">
        <f>SUM(F80:F83)</f>
        <v>0</v>
      </c>
    </row>
    <row r="80" spans="1:6" s="238" customFormat="1" ht="12" customHeight="1">
      <c r="A80" s="243" t="s">
        <v>293</v>
      </c>
      <c r="B80" s="239" t="s">
        <v>294</v>
      </c>
      <c r="C80" s="697">
        <f t="shared" si="1"/>
        <v>0</v>
      </c>
      <c r="D80" s="488"/>
      <c r="E80" s="153"/>
      <c r="F80" s="153"/>
    </row>
    <row r="81" spans="1:6" s="238" customFormat="1" ht="12" customHeight="1">
      <c r="A81" s="244" t="s">
        <v>295</v>
      </c>
      <c r="B81" s="240" t="s">
        <v>296</v>
      </c>
      <c r="C81" s="698">
        <f t="shared" si="1"/>
        <v>0</v>
      </c>
      <c r="D81" s="488"/>
      <c r="E81" s="153"/>
      <c r="F81" s="153"/>
    </row>
    <row r="82" spans="1:6" s="238" customFormat="1" ht="12" customHeight="1">
      <c r="A82" s="244" t="s">
        <v>297</v>
      </c>
      <c r="B82" s="240" t="s">
        <v>298</v>
      </c>
      <c r="C82" s="698">
        <f t="shared" si="1"/>
        <v>0</v>
      </c>
      <c r="D82" s="488"/>
      <c r="E82" s="153"/>
      <c r="F82" s="153"/>
    </row>
    <row r="83" spans="1:6" s="238" customFormat="1" ht="12" customHeight="1" thickBot="1">
      <c r="A83" s="245" t="s">
        <v>299</v>
      </c>
      <c r="B83" s="146" t="s">
        <v>300</v>
      </c>
      <c r="C83" s="699">
        <f t="shared" si="1"/>
        <v>0</v>
      </c>
      <c r="D83" s="488"/>
      <c r="E83" s="153"/>
      <c r="F83" s="153"/>
    </row>
    <row r="84" spans="1:6" s="238" customFormat="1" ht="12" customHeight="1" thickBot="1">
      <c r="A84" s="465" t="s">
        <v>301</v>
      </c>
      <c r="B84" s="144" t="s">
        <v>525</v>
      </c>
      <c r="C84" s="693">
        <f t="shared" si="1"/>
        <v>0</v>
      </c>
      <c r="D84" s="562"/>
      <c r="E84" s="278"/>
      <c r="F84" s="278"/>
    </row>
    <row r="85" spans="1:6" s="238" customFormat="1" ht="13.5" customHeight="1" thickBot="1">
      <c r="A85" s="465" t="s">
        <v>303</v>
      </c>
      <c r="B85" s="144" t="s">
        <v>302</v>
      </c>
      <c r="C85" s="154">
        <f t="shared" si="1"/>
        <v>0</v>
      </c>
      <c r="D85" s="562"/>
      <c r="E85" s="278"/>
      <c r="F85" s="278"/>
    </row>
    <row r="86" spans="1:6" s="238" customFormat="1" ht="15.75" customHeight="1" thickBot="1">
      <c r="A86" s="465" t="s">
        <v>315</v>
      </c>
      <c r="B86" s="246" t="s">
        <v>526</v>
      </c>
      <c r="C86" s="154">
        <f>C85+C84+C79+C75+C72+C67+C63</f>
        <v>437099415</v>
      </c>
      <c r="D86" s="556">
        <f>+D63+D67+D72+D75+D79+D85+D84</f>
        <v>433431423</v>
      </c>
      <c r="E86" s="154">
        <f>+E63+E67+E72+E75+E79+E85+E84</f>
        <v>447404</v>
      </c>
      <c r="F86" s="154">
        <f>+F63+F67+F72+F75+F79+F85+F84</f>
        <v>3220588</v>
      </c>
    </row>
    <row r="87" spans="1:6" s="238" customFormat="1" ht="16.5" customHeight="1" thickBot="1">
      <c r="A87" s="467" t="s">
        <v>527</v>
      </c>
      <c r="B87" s="247" t="s">
        <v>528</v>
      </c>
      <c r="C87" s="154">
        <f>C62+C86</f>
        <v>2939605465</v>
      </c>
      <c r="D87" s="556">
        <f>+D62+D86</f>
        <v>2205248123</v>
      </c>
      <c r="E87" s="154">
        <f>+E62+E86</f>
        <v>9863904</v>
      </c>
      <c r="F87" s="154">
        <f>+F62+F86</f>
        <v>398543766</v>
      </c>
    </row>
    <row r="88" spans="1:3" s="238" customFormat="1" ht="83.25" customHeight="1">
      <c r="A88" s="4"/>
      <c r="B88" s="5"/>
      <c r="C88" s="155"/>
    </row>
    <row r="89" spans="1:3" ht="16.5" customHeight="1">
      <c r="A89" s="735" t="s">
        <v>70</v>
      </c>
      <c r="B89" s="735"/>
      <c r="C89" s="735"/>
    </row>
    <row r="90" spans="1:3" s="248" customFormat="1" ht="16.5" customHeight="1" thickBot="1">
      <c r="A90" s="736" t="s">
        <v>151</v>
      </c>
      <c r="B90" s="736"/>
      <c r="C90" s="88" t="s">
        <v>667</v>
      </c>
    </row>
    <row r="91" spans="1:3" ht="37.5" customHeight="1" thickBot="1">
      <c r="A91" s="22" t="s">
        <v>92</v>
      </c>
      <c r="B91" s="23" t="s">
        <v>71</v>
      </c>
      <c r="C91" s="36" t="str">
        <f>+C3</f>
        <v>2017. évi előirányzat</v>
      </c>
    </row>
    <row r="92" spans="1:3" s="237" customFormat="1" ht="12" customHeight="1" thickBot="1">
      <c r="A92" s="32" t="s">
        <v>512</v>
      </c>
      <c r="B92" s="33" t="s">
        <v>513</v>
      </c>
      <c r="C92" s="233" t="s">
        <v>514</v>
      </c>
    </row>
    <row r="93" spans="1:6" ht="12" customHeight="1" thickBot="1">
      <c r="A93" s="21" t="s">
        <v>41</v>
      </c>
      <c r="B93" s="26" t="s">
        <v>566</v>
      </c>
      <c r="C93" s="695">
        <f>SUM(C94:C98)+SUM(C111)</f>
        <v>2614428777</v>
      </c>
      <c r="D93" s="568">
        <f>+D94+D95+D96+D97+D98+D111</f>
        <v>694146130</v>
      </c>
      <c r="E93" s="148">
        <f>+E94+E95+E96+E97+E98+E111</f>
        <v>223822850</v>
      </c>
      <c r="F93" s="638">
        <f>F94+F95+F96+F97+F98+F111</f>
        <v>1388014694</v>
      </c>
    </row>
    <row r="94" spans="1:6" ht="12" customHeight="1">
      <c r="A94" s="16" t="s">
        <v>117</v>
      </c>
      <c r="B94" s="9" t="s">
        <v>72</v>
      </c>
      <c r="C94" s="700">
        <f>SUM(D94:F94)+252096521</f>
        <v>1231407092</v>
      </c>
      <c r="D94" s="642">
        <f>25364000+485000+6010000+3749000+165142000+48000+105000</f>
        <v>200903000</v>
      </c>
      <c r="E94" s="509">
        <v>119212000</v>
      </c>
      <c r="F94" s="523">
        <v>659195571</v>
      </c>
    </row>
    <row r="95" spans="1:6" ht="12" customHeight="1">
      <c r="A95" s="13" t="s">
        <v>118</v>
      </c>
      <c r="B95" s="7" t="s">
        <v>171</v>
      </c>
      <c r="C95" s="701">
        <f>SUM(D95:F95)+28812821</f>
        <v>239580182</v>
      </c>
      <c r="D95" s="488">
        <f>5239000+143000+1233000+14000+1652000+19299000+10000+23000</f>
        <v>27613000</v>
      </c>
      <c r="E95" s="153">
        <v>28323500</v>
      </c>
      <c r="F95" s="492">
        <v>154830861</v>
      </c>
    </row>
    <row r="96" spans="1:6" ht="12" customHeight="1">
      <c r="A96" s="13" t="s">
        <v>119</v>
      </c>
      <c r="B96" s="7" t="s">
        <v>146</v>
      </c>
      <c r="C96" s="701">
        <f>SUM(D96:F96)+41579904+1600000</f>
        <v>895577346</v>
      </c>
      <c r="D96" s="499">
        <f>11475000+835000+4801000+2722822+944166+8715000+1817000+17736000+735000+300000+8485000+34925000+628800+40773000+3429000+11212000+576000+3351000+1682000+16980000+46750042+1200000+4573000+1350000+376000</f>
        <v>226371830</v>
      </c>
      <c r="E96" s="228">
        <v>52037350</v>
      </c>
      <c r="F96" s="492">
        <v>573988262</v>
      </c>
    </row>
    <row r="97" spans="1:6" ht="12" customHeight="1">
      <c r="A97" s="13" t="s">
        <v>120</v>
      </c>
      <c r="B97" s="7" t="s">
        <v>172</v>
      </c>
      <c r="C97" s="701">
        <f aca="true" t="shared" si="2" ref="C97:C152">SUM(D97:F97)</f>
        <v>95230000</v>
      </c>
      <c r="D97" s="499">
        <f>70980000</f>
        <v>70980000</v>
      </c>
      <c r="E97" s="228">
        <v>24250000</v>
      </c>
      <c r="F97" s="522"/>
    </row>
    <row r="98" spans="1:6" ht="12" customHeight="1">
      <c r="A98" s="13" t="s">
        <v>131</v>
      </c>
      <c r="B98" s="6" t="s">
        <v>173</v>
      </c>
      <c r="C98" s="701">
        <f>SUM(D98:F98)+1500+3500000</f>
        <v>40666500</v>
      </c>
      <c r="D98" s="499">
        <f>SUM(D99:D110)</f>
        <v>37165000</v>
      </c>
      <c r="E98" s="228">
        <f>SUM(E99:E110)</f>
        <v>0</v>
      </c>
      <c r="F98" s="522"/>
    </row>
    <row r="99" spans="1:6" ht="12" customHeight="1">
      <c r="A99" s="13" t="s">
        <v>121</v>
      </c>
      <c r="B99" s="7" t="s">
        <v>529</v>
      </c>
      <c r="C99" s="701">
        <f>SUM(D99:F99)+1500</f>
        <v>1500</v>
      </c>
      <c r="D99" s="499"/>
      <c r="E99" s="228"/>
      <c r="F99" s="522"/>
    </row>
    <row r="100" spans="1:6" ht="12" customHeight="1">
      <c r="A100" s="13" t="s">
        <v>122</v>
      </c>
      <c r="B100" s="92" t="s">
        <v>530</v>
      </c>
      <c r="C100" s="701">
        <f t="shared" si="2"/>
        <v>0</v>
      </c>
      <c r="D100" s="499"/>
      <c r="E100" s="228"/>
      <c r="F100" s="522"/>
    </row>
    <row r="101" spans="1:6" ht="12" customHeight="1">
      <c r="A101" s="13" t="s">
        <v>132</v>
      </c>
      <c r="B101" s="92" t="s">
        <v>531</v>
      </c>
      <c r="C101" s="701">
        <f t="shared" si="2"/>
        <v>0</v>
      </c>
      <c r="D101" s="499"/>
      <c r="E101" s="228"/>
      <c r="F101" s="522"/>
    </row>
    <row r="102" spans="1:6" ht="12" customHeight="1">
      <c r="A102" s="13" t="s">
        <v>133</v>
      </c>
      <c r="B102" s="90" t="s">
        <v>318</v>
      </c>
      <c r="C102" s="701">
        <f t="shared" si="2"/>
        <v>0</v>
      </c>
      <c r="D102" s="499"/>
      <c r="E102" s="228"/>
      <c r="F102" s="522"/>
    </row>
    <row r="103" spans="1:6" ht="12" customHeight="1">
      <c r="A103" s="13" t="s">
        <v>134</v>
      </c>
      <c r="B103" s="91" t="s">
        <v>319</v>
      </c>
      <c r="C103" s="701">
        <f t="shared" si="2"/>
        <v>0</v>
      </c>
      <c r="D103" s="499"/>
      <c r="E103" s="228"/>
      <c r="F103" s="522"/>
    </row>
    <row r="104" spans="1:6" ht="12" customHeight="1">
      <c r="A104" s="13" t="s">
        <v>135</v>
      </c>
      <c r="B104" s="91" t="s">
        <v>320</v>
      </c>
      <c r="C104" s="701">
        <f t="shared" si="2"/>
        <v>0</v>
      </c>
      <c r="D104" s="499"/>
      <c r="E104" s="228"/>
      <c r="F104" s="522"/>
    </row>
    <row r="105" spans="1:6" ht="12" customHeight="1">
      <c r="A105" s="13" t="s">
        <v>137</v>
      </c>
      <c r="B105" s="90" t="s">
        <v>321</v>
      </c>
      <c r="C105" s="701">
        <f t="shared" si="2"/>
        <v>0</v>
      </c>
      <c r="D105" s="499"/>
      <c r="E105" s="228"/>
      <c r="F105" s="522"/>
    </row>
    <row r="106" spans="1:6" ht="12" customHeight="1">
      <c r="A106" s="13" t="s">
        <v>174</v>
      </c>
      <c r="B106" s="90" t="s">
        <v>322</v>
      </c>
      <c r="C106" s="701">
        <f t="shared" si="2"/>
        <v>0</v>
      </c>
      <c r="D106" s="499"/>
      <c r="E106" s="228"/>
      <c r="F106" s="522"/>
    </row>
    <row r="107" spans="1:6" ht="12" customHeight="1">
      <c r="A107" s="13" t="s">
        <v>316</v>
      </c>
      <c r="B107" s="91" t="s">
        <v>323</v>
      </c>
      <c r="C107" s="701">
        <f t="shared" si="2"/>
        <v>0</v>
      </c>
      <c r="D107" s="499"/>
      <c r="E107" s="228"/>
      <c r="F107" s="522"/>
    </row>
    <row r="108" spans="1:6" ht="12" customHeight="1">
      <c r="A108" s="12" t="s">
        <v>317</v>
      </c>
      <c r="B108" s="92" t="s">
        <v>324</v>
      </c>
      <c r="C108" s="701">
        <f t="shared" si="2"/>
        <v>0</v>
      </c>
      <c r="D108" s="499"/>
      <c r="E108" s="228"/>
      <c r="F108" s="522"/>
    </row>
    <row r="109" spans="1:6" ht="12" customHeight="1">
      <c r="A109" s="13" t="s">
        <v>532</v>
      </c>
      <c r="B109" s="92" t="s">
        <v>325</v>
      </c>
      <c r="C109" s="701">
        <f t="shared" si="2"/>
        <v>0</v>
      </c>
      <c r="D109" s="499"/>
      <c r="E109" s="228"/>
      <c r="F109" s="522"/>
    </row>
    <row r="110" spans="1:6" ht="12" customHeight="1">
      <c r="A110" s="15" t="s">
        <v>533</v>
      </c>
      <c r="B110" s="92" t="s">
        <v>326</v>
      </c>
      <c r="C110" s="701">
        <f>SUM(D110:F110)+3500000</f>
        <v>40665000</v>
      </c>
      <c r="D110" s="488">
        <f>536000+11389000+8562000+16678000</f>
        <v>37165000</v>
      </c>
      <c r="E110" s="153"/>
      <c r="F110" s="522"/>
    </row>
    <row r="111" spans="1:6" ht="12" customHeight="1">
      <c r="A111" s="13" t="s">
        <v>534</v>
      </c>
      <c r="B111" s="7" t="s">
        <v>73</v>
      </c>
      <c r="C111" s="701">
        <f>SUM(C112:C113)</f>
        <v>111967657</v>
      </c>
      <c r="D111" s="488">
        <f>D112+D113</f>
        <v>131113300</v>
      </c>
      <c r="E111" s="153"/>
      <c r="F111" s="492">
        <f>F112+F113</f>
        <v>0</v>
      </c>
    </row>
    <row r="112" spans="1:6" ht="12" customHeight="1">
      <c r="A112" s="13" t="s">
        <v>535</v>
      </c>
      <c r="B112" s="7" t="s">
        <v>536</v>
      </c>
      <c r="C112" s="701">
        <f>SUM(D112:F112)-9172313</f>
        <v>10827687</v>
      </c>
      <c r="D112" s="499">
        <v>20000000</v>
      </c>
      <c r="E112" s="228"/>
      <c r="F112" s="492"/>
    </row>
    <row r="113" spans="1:6" ht="12" customHeight="1" thickBot="1">
      <c r="A113" s="17" t="s">
        <v>537</v>
      </c>
      <c r="B113" s="468" t="s">
        <v>538</v>
      </c>
      <c r="C113" s="702">
        <f>SUM(D113:F113)-8373330-1600000</f>
        <v>101139970</v>
      </c>
      <c r="D113" s="643">
        <f>110613300+500000</f>
        <v>111113300</v>
      </c>
      <c r="E113" s="526"/>
      <c r="F113" s="524"/>
    </row>
    <row r="114" spans="1:6" ht="12" customHeight="1" thickBot="1">
      <c r="A114" s="469" t="s">
        <v>42</v>
      </c>
      <c r="B114" s="470" t="s">
        <v>327</v>
      </c>
      <c r="C114" s="695">
        <f>C115+C117+C119</f>
        <v>186850756</v>
      </c>
      <c r="D114" s="549">
        <f>+D115+D117+D119</f>
        <v>158172900</v>
      </c>
      <c r="E114" s="149">
        <f>+E115+E117+E119</f>
        <v>1901000</v>
      </c>
      <c r="F114" s="471">
        <f>+F115+F117+F119</f>
        <v>9272287</v>
      </c>
    </row>
    <row r="115" spans="1:6" ht="12" customHeight="1">
      <c r="A115" s="14" t="s">
        <v>123</v>
      </c>
      <c r="B115" s="7" t="s">
        <v>191</v>
      </c>
      <c r="C115" s="700">
        <f>SUM(D115:F115)+15239176</f>
        <v>62355363</v>
      </c>
      <c r="D115" s="560">
        <f>6621000+2963001+787402+10624171+3081125+300001+529000+1654000+447000+2237000+90200+6604000+301000+204000</f>
        <v>36442900</v>
      </c>
      <c r="E115" s="277">
        <v>1901000</v>
      </c>
      <c r="F115" s="525">
        <v>8772287</v>
      </c>
    </row>
    <row r="116" spans="1:6" ht="12" customHeight="1">
      <c r="A116" s="14" t="s">
        <v>124</v>
      </c>
      <c r="B116" s="11" t="s">
        <v>331</v>
      </c>
      <c r="C116" s="701">
        <f t="shared" si="2"/>
        <v>14492698</v>
      </c>
      <c r="D116" s="560">
        <v>14492698</v>
      </c>
      <c r="E116" s="277"/>
      <c r="F116" s="525"/>
    </row>
    <row r="117" spans="1:6" ht="12" customHeight="1">
      <c r="A117" s="14" t="s">
        <v>125</v>
      </c>
      <c r="B117" s="11" t="s">
        <v>175</v>
      </c>
      <c r="C117" s="701">
        <f>SUM(D117:F117)-134607</f>
        <v>80023393</v>
      </c>
      <c r="D117" s="488">
        <f>53340000+21000000+1513000+2996000+809000</f>
        <v>79658000</v>
      </c>
      <c r="E117" s="153"/>
      <c r="F117" s="492">
        <v>500000</v>
      </c>
    </row>
    <row r="118" spans="1:6" ht="12" customHeight="1">
      <c r="A118" s="14" t="s">
        <v>126</v>
      </c>
      <c r="B118" s="11" t="s">
        <v>332</v>
      </c>
      <c r="C118" s="701">
        <f t="shared" si="2"/>
        <v>53340000</v>
      </c>
      <c r="D118" s="488">
        <v>53340000</v>
      </c>
      <c r="E118" s="514"/>
      <c r="F118" s="488"/>
    </row>
    <row r="119" spans="1:6" ht="12" customHeight="1">
      <c r="A119" s="14" t="s">
        <v>127</v>
      </c>
      <c r="B119" s="146" t="s">
        <v>193</v>
      </c>
      <c r="C119" s="701">
        <f>SUM(D119:F119)+2400000</f>
        <v>44472000</v>
      </c>
      <c r="D119" s="488">
        <f>SUM(D120:D127)</f>
        <v>42072000</v>
      </c>
      <c r="E119" s="488"/>
      <c r="F119" s="488"/>
    </row>
    <row r="120" spans="1:6" ht="12" customHeight="1">
      <c r="A120" s="14" t="s">
        <v>136</v>
      </c>
      <c r="B120" s="145" t="s">
        <v>394</v>
      </c>
      <c r="C120" s="701">
        <f>SUM(D120:F120)</f>
        <v>0</v>
      </c>
      <c r="D120" s="135"/>
      <c r="E120" s="135"/>
      <c r="F120" s="488"/>
    </row>
    <row r="121" spans="1:6" ht="12" customHeight="1">
      <c r="A121" s="14" t="s">
        <v>138</v>
      </c>
      <c r="B121" s="235" t="s">
        <v>337</v>
      </c>
      <c r="C121" s="701">
        <f t="shared" si="2"/>
        <v>0</v>
      </c>
      <c r="D121" s="135"/>
      <c r="E121" s="135"/>
      <c r="F121" s="488"/>
    </row>
    <row r="122" spans="1:6" ht="15.75">
      <c r="A122" s="14" t="s">
        <v>176</v>
      </c>
      <c r="B122" s="91" t="s">
        <v>320</v>
      </c>
      <c r="C122" s="701">
        <f t="shared" si="2"/>
        <v>0</v>
      </c>
      <c r="D122" s="135"/>
      <c r="E122" s="135"/>
      <c r="F122" s="488"/>
    </row>
    <row r="123" spans="1:6" ht="12" customHeight="1">
      <c r="A123" s="14" t="s">
        <v>177</v>
      </c>
      <c r="B123" s="91" t="s">
        <v>336</v>
      </c>
      <c r="C123" s="701">
        <f t="shared" si="2"/>
        <v>0</v>
      </c>
      <c r="D123" s="135"/>
      <c r="E123" s="135"/>
      <c r="F123" s="488"/>
    </row>
    <row r="124" spans="1:6" ht="12" customHeight="1">
      <c r="A124" s="14" t="s">
        <v>178</v>
      </c>
      <c r="B124" s="91" t="s">
        <v>335</v>
      </c>
      <c r="C124" s="701">
        <f t="shared" si="2"/>
        <v>0</v>
      </c>
      <c r="D124" s="135"/>
      <c r="E124" s="135"/>
      <c r="F124" s="488"/>
    </row>
    <row r="125" spans="1:6" ht="12" customHeight="1">
      <c r="A125" s="14" t="s">
        <v>328</v>
      </c>
      <c r="B125" s="91" t="s">
        <v>323</v>
      </c>
      <c r="C125" s="701">
        <f t="shared" si="2"/>
        <v>0</v>
      </c>
      <c r="D125" s="135"/>
      <c r="E125" s="135"/>
      <c r="F125" s="488"/>
    </row>
    <row r="126" spans="1:6" ht="12" customHeight="1">
      <c r="A126" s="14" t="s">
        <v>329</v>
      </c>
      <c r="B126" s="91" t="s">
        <v>334</v>
      </c>
      <c r="C126" s="701">
        <f t="shared" si="2"/>
        <v>0</v>
      </c>
      <c r="D126" s="135"/>
      <c r="E126" s="135"/>
      <c r="F126" s="488"/>
    </row>
    <row r="127" spans="1:6" ht="16.5" thickBot="1">
      <c r="A127" s="12" t="s">
        <v>330</v>
      </c>
      <c r="B127" s="91" t="s">
        <v>333</v>
      </c>
      <c r="C127" s="702">
        <f>SUM(D127:F127)+2400000</f>
        <v>44472000</v>
      </c>
      <c r="D127" s="499">
        <v>42072000</v>
      </c>
      <c r="E127" s="499"/>
      <c r="F127" s="499"/>
    </row>
    <row r="128" spans="1:6" ht="12" customHeight="1" thickBot="1">
      <c r="A128" s="19" t="s">
        <v>43</v>
      </c>
      <c r="B128" s="86" t="s">
        <v>539</v>
      </c>
      <c r="C128" s="695">
        <f>C114+C93</f>
        <v>2801279533</v>
      </c>
      <c r="D128" s="549">
        <f>+D93+D114</f>
        <v>852319030</v>
      </c>
      <c r="E128" s="149">
        <f>+E93+E114</f>
        <v>225723850</v>
      </c>
      <c r="F128" s="149">
        <f>+F93+F114</f>
        <v>1397286981</v>
      </c>
    </row>
    <row r="129" spans="1:6" ht="12" customHeight="1" thickBot="1">
      <c r="A129" s="19" t="s">
        <v>44</v>
      </c>
      <c r="B129" s="86" t="s">
        <v>540</v>
      </c>
      <c r="C129" s="695">
        <f>SUM(C130:C132)</f>
        <v>103161000</v>
      </c>
      <c r="D129" s="549">
        <f>+D130+D131+D132</f>
        <v>103161000</v>
      </c>
      <c r="E129" s="149">
        <f>+E130+E131+E132</f>
        <v>0</v>
      </c>
      <c r="F129" s="149">
        <f>+F130+F131+F132</f>
        <v>0</v>
      </c>
    </row>
    <row r="130" spans="1:6" ht="12" customHeight="1">
      <c r="A130" s="14" t="s">
        <v>228</v>
      </c>
      <c r="B130" s="11" t="s">
        <v>541</v>
      </c>
      <c r="C130" s="700">
        <f t="shared" si="2"/>
        <v>3161000</v>
      </c>
      <c r="D130" s="488">
        <v>3161000</v>
      </c>
      <c r="E130" s="488"/>
      <c r="F130" s="488"/>
    </row>
    <row r="131" spans="1:6" ht="12" customHeight="1">
      <c r="A131" s="14" t="s">
        <v>231</v>
      </c>
      <c r="B131" s="11" t="s">
        <v>542</v>
      </c>
      <c r="C131" s="701">
        <f t="shared" si="2"/>
        <v>100000000</v>
      </c>
      <c r="D131" s="135">
        <v>100000000</v>
      </c>
      <c r="E131" s="135"/>
      <c r="F131" s="135"/>
    </row>
    <row r="132" spans="1:6" ht="12" customHeight="1" thickBot="1">
      <c r="A132" s="12" t="s">
        <v>232</v>
      </c>
      <c r="B132" s="11" t="s">
        <v>543</v>
      </c>
      <c r="C132" s="702">
        <f t="shared" si="2"/>
        <v>0</v>
      </c>
      <c r="D132" s="135"/>
      <c r="E132" s="135"/>
      <c r="F132" s="135"/>
    </row>
    <row r="133" spans="1:6" ht="12" customHeight="1" thickBot="1">
      <c r="A133" s="19" t="s">
        <v>45</v>
      </c>
      <c r="B133" s="86" t="s">
        <v>544</v>
      </c>
      <c r="C133" s="696">
        <f>SUM(C134:C139)</f>
        <v>0</v>
      </c>
      <c r="D133" s="549">
        <f>+D134+D135+D136+D137+D138+D139</f>
        <v>0</v>
      </c>
      <c r="E133" s="149">
        <f>+E134+E135+E136+E137+E138+E139</f>
        <v>0</v>
      </c>
      <c r="F133" s="149">
        <f>SUM(F134:F139)</f>
        <v>0</v>
      </c>
    </row>
    <row r="134" spans="1:6" ht="12" customHeight="1">
      <c r="A134" s="14" t="s">
        <v>110</v>
      </c>
      <c r="B134" s="8" t="s">
        <v>545</v>
      </c>
      <c r="C134" s="700">
        <f t="shared" si="2"/>
        <v>0</v>
      </c>
      <c r="D134" s="135"/>
      <c r="E134" s="135"/>
      <c r="F134" s="135"/>
    </row>
    <row r="135" spans="1:6" ht="12" customHeight="1">
      <c r="A135" s="14" t="s">
        <v>111</v>
      </c>
      <c r="B135" s="8" t="s">
        <v>546</v>
      </c>
      <c r="C135" s="701">
        <f t="shared" si="2"/>
        <v>0</v>
      </c>
      <c r="D135" s="135"/>
      <c r="E135" s="135"/>
      <c r="F135" s="135"/>
    </row>
    <row r="136" spans="1:6" ht="12" customHeight="1">
      <c r="A136" s="14" t="s">
        <v>112</v>
      </c>
      <c r="B136" s="8" t="s">
        <v>547</v>
      </c>
      <c r="C136" s="701">
        <f t="shared" si="2"/>
        <v>0</v>
      </c>
      <c r="D136" s="135"/>
      <c r="E136" s="135"/>
      <c r="F136" s="135"/>
    </row>
    <row r="137" spans="1:6" ht="12" customHeight="1">
      <c r="A137" s="14" t="s">
        <v>163</v>
      </c>
      <c r="B137" s="8" t="s">
        <v>548</v>
      </c>
      <c r="C137" s="701">
        <f t="shared" si="2"/>
        <v>0</v>
      </c>
      <c r="D137" s="135"/>
      <c r="E137" s="135"/>
      <c r="F137" s="135"/>
    </row>
    <row r="138" spans="1:6" ht="12" customHeight="1">
      <c r="A138" s="14" t="s">
        <v>164</v>
      </c>
      <c r="B138" s="8" t="s">
        <v>549</v>
      </c>
      <c r="C138" s="701">
        <f t="shared" si="2"/>
        <v>0</v>
      </c>
      <c r="D138" s="135"/>
      <c r="E138" s="135"/>
      <c r="F138" s="135"/>
    </row>
    <row r="139" spans="1:6" ht="12" customHeight="1" thickBot="1">
      <c r="A139" s="12" t="s">
        <v>165</v>
      </c>
      <c r="B139" s="8" t="s">
        <v>550</v>
      </c>
      <c r="C139" s="702">
        <f t="shared" si="2"/>
        <v>0</v>
      </c>
      <c r="D139" s="135"/>
      <c r="E139" s="135"/>
      <c r="F139" s="135"/>
    </row>
    <row r="140" spans="1:6" ht="12" customHeight="1" thickBot="1">
      <c r="A140" s="19" t="s">
        <v>46</v>
      </c>
      <c r="B140" s="86" t="s">
        <v>551</v>
      </c>
      <c r="C140" s="695">
        <f>SUM(C141:C144)</f>
        <v>35164932</v>
      </c>
      <c r="D140" s="556">
        <f>+D141+D142+D143+D144</f>
        <v>35164932</v>
      </c>
      <c r="E140" s="154">
        <f>+E141+E142+E143+E144</f>
        <v>0</v>
      </c>
      <c r="F140" s="154">
        <f>+F141+F142+F143+F144</f>
        <v>0</v>
      </c>
    </row>
    <row r="141" spans="1:6" ht="12" customHeight="1">
      <c r="A141" s="14" t="s">
        <v>113</v>
      </c>
      <c r="B141" s="8" t="s">
        <v>338</v>
      </c>
      <c r="C141" s="700">
        <f t="shared" si="2"/>
        <v>0</v>
      </c>
      <c r="D141" s="135"/>
      <c r="E141" s="135"/>
      <c r="F141" s="135"/>
    </row>
    <row r="142" spans="1:6" ht="12" customHeight="1">
      <c r="A142" s="14" t="s">
        <v>114</v>
      </c>
      <c r="B142" s="8" t="s">
        <v>339</v>
      </c>
      <c r="C142" s="701">
        <f t="shared" si="2"/>
        <v>35164932</v>
      </c>
      <c r="D142" s="135">
        <f>35164932</f>
        <v>35164932</v>
      </c>
      <c r="E142" s="135"/>
      <c r="F142" s="135"/>
    </row>
    <row r="143" spans="1:6" ht="12" customHeight="1">
      <c r="A143" s="14" t="s">
        <v>252</v>
      </c>
      <c r="B143" s="8" t="s">
        <v>552</v>
      </c>
      <c r="C143" s="701">
        <f t="shared" si="2"/>
        <v>0</v>
      </c>
      <c r="D143" s="135"/>
      <c r="E143" s="135"/>
      <c r="F143" s="135"/>
    </row>
    <row r="144" spans="1:6" ht="12" customHeight="1" thickBot="1">
      <c r="A144" s="12" t="s">
        <v>253</v>
      </c>
      <c r="B144" s="6" t="s">
        <v>357</v>
      </c>
      <c r="C144" s="702">
        <f t="shared" si="2"/>
        <v>0</v>
      </c>
      <c r="D144" s="135"/>
      <c r="E144" s="135"/>
      <c r="F144" s="135"/>
    </row>
    <row r="145" spans="1:6" ht="12" customHeight="1" thickBot="1">
      <c r="A145" s="19" t="s">
        <v>47</v>
      </c>
      <c r="B145" s="86" t="s">
        <v>553</v>
      </c>
      <c r="C145" s="696">
        <f>SUM(C146:C150)</f>
        <v>0</v>
      </c>
      <c r="D145" s="574">
        <f>+D146+D147+D148+D149+D150</f>
        <v>0</v>
      </c>
      <c r="E145" s="157">
        <f>+E146+E147+E148+E149+E150</f>
        <v>0</v>
      </c>
      <c r="F145" s="157">
        <f>SUM(F146:F150)</f>
        <v>0</v>
      </c>
    </row>
    <row r="146" spans="1:6" ht="12" customHeight="1">
      <c r="A146" s="14" t="s">
        <v>115</v>
      </c>
      <c r="B146" s="8" t="s">
        <v>554</v>
      </c>
      <c r="C146" s="700">
        <f t="shared" si="2"/>
        <v>0</v>
      </c>
      <c r="D146" s="135"/>
      <c r="E146" s="135"/>
      <c r="F146" s="135"/>
    </row>
    <row r="147" spans="1:6" ht="12" customHeight="1">
      <c r="A147" s="14" t="s">
        <v>116</v>
      </c>
      <c r="B147" s="8" t="s">
        <v>555</v>
      </c>
      <c r="C147" s="701">
        <f t="shared" si="2"/>
        <v>0</v>
      </c>
      <c r="D147" s="135"/>
      <c r="E147" s="135"/>
      <c r="F147" s="135"/>
    </row>
    <row r="148" spans="1:6" ht="12" customHeight="1">
      <c r="A148" s="14" t="s">
        <v>264</v>
      </c>
      <c r="B148" s="8" t="s">
        <v>556</v>
      </c>
      <c r="C148" s="701">
        <f t="shared" si="2"/>
        <v>0</v>
      </c>
      <c r="D148" s="135"/>
      <c r="E148" s="135"/>
      <c r="F148" s="135"/>
    </row>
    <row r="149" spans="1:6" ht="12" customHeight="1">
      <c r="A149" s="14" t="s">
        <v>265</v>
      </c>
      <c r="B149" s="8" t="s">
        <v>557</v>
      </c>
      <c r="C149" s="701">
        <f t="shared" si="2"/>
        <v>0</v>
      </c>
      <c r="D149" s="135"/>
      <c r="E149" s="135"/>
      <c r="F149" s="135"/>
    </row>
    <row r="150" spans="1:6" ht="12" customHeight="1" thickBot="1">
      <c r="A150" s="14" t="s">
        <v>558</v>
      </c>
      <c r="B150" s="8" t="s">
        <v>559</v>
      </c>
      <c r="C150" s="702">
        <f t="shared" si="2"/>
        <v>0</v>
      </c>
      <c r="D150" s="136"/>
      <c r="E150" s="136"/>
      <c r="F150" s="135"/>
    </row>
    <row r="151" spans="1:6" ht="12" customHeight="1" thickBot="1">
      <c r="A151" s="19" t="s">
        <v>48</v>
      </c>
      <c r="B151" s="86" t="s">
        <v>560</v>
      </c>
      <c r="C151" s="696">
        <f t="shared" si="2"/>
        <v>0</v>
      </c>
      <c r="D151" s="574"/>
      <c r="E151" s="157"/>
      <c r="F151" s="472"/>
    </row>
    <row r="152" spans="1:6" ht="12" customHeight="1" thickBot="1">
      <c r="A152" s="19" t="s">
        <v>49</v>
      </c>
      <c r="B152" s="86" t="s">
        <v>561</v>
      </c>
      <c r="C152" s="696">
        <f t="shared" si="2"/>
        <v>0</v>
      </c>
      <c r="D152" s="574"/>
      <c r="E152" s="157"/>
      <c r="F152" s="472"/>
    </row>
    <row r="153" spans="1:8" ht="15" customHeight="1" thickBot="1">
      <c r="A153" s="19" t="s">
        <v>50</v>
      </c>
      <c r="B153" s="86" t="s">
        <v>562</v>
      </c>
      <c r="C153" s="695">
        <f>C152+C151+C145+C140+C133+C129</f>
        <v>138325932</v>
      </c>
      <c r="D153" s="577">
        <f>+D129+D133+D140+D145+D151+D152</f>
        <v>138325932</v>
      </c>
      <c r="E153" s="249">
        <f>+E129+E133+E140+E145+E151+E152</f>
        <v>0</v>
      </c>
      <c r="F153" s="249">
        <f>+F129+F133+F140+F145+F151+F152</f>
        <v>0</v>
      </c>
      <c r="G153" s="250"/>
      <c r="H153" s="250"/>
    </row>
    <row r="154" spans="1:6" s="238" customFormat="1" ht="12.75" customHeight="1" thickBot="1">
      <c r="A154" s="147" t="s">
        <v>51</v>
      </c>
      <c r="B154" s="224" t="s">
        <v>563</v>
      </c>
      <c r="C154" s="695">
        <f>C153+C128</f>
        <v>2939605465</v>
      </c>
      <c r="D154" s="577">
        <f>+D128+D153</f>
        <v>990644962</v>
      </c>
      <c r="E154" s="249">
        <f>+E128+E153</f>
        <v>225723850</v>
      </c>
      <c r="F154" s="249">
        <f>+F128+F153</f>
        <v>1397286981</v>
      </c>
    </row>
    <row r="155" ht="7.5" customHeight="1"/>
    <row r="156" spans="1:3" ht="15.75">
      <c r="A156" s="737" t="s">
        <v>340</v>
      </c>
      <c r="B156" s="737"/>
      <c r="C156" s="737"/>
    </row>
    <row r="157" spans="1:3" ht="15" customHeight="1" thickBot="1">
      <c r="A157" s="734" t="s">
        <v>152</v>
      </c>
      <c r="B157" s="734"/>
      <c r="C157" s="158" t="s">
        <v>667</v>
      </c>
    </row>
    <row r="158" spans="1:3" ht="13.5" customHeight="1" thickBot="1">
      <c r="A158" s="19">
        <v>1</v>
      </c>
      <c r="B158" s="25" t="s">
        <v>564</v>
      </c>
      <c r="C158" s="149">
        <f>+C62-C128</f>
        <v>-298773483</v>
      </c>
    </row>
    <row r="159" spans="1:3" ht="27.75" customHeight="1" thickBot="1">
      <c r="A159" s="19" t="s">
        <v>42</v>
      </c>
      <c r="B159" s="25" t="s">
        <v>565</v>
      </c>
      <c r="C159" s="149">
        <f>+C86-C153</f>
        <v>298773483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 melléklet a 11/2017.(III.30.)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83">
      <selection activeCell="C114" sqref="C114"/>
    </sheetView>
  </sheetViews>
  <sheetFormatPr defaultColWidth="9.00390625" defaultRowHeight="12.75"/>
  <cols>
    <col min="1" max="1" width="19.50390625" style="282" customWidth="1"/>
    <col min="2" max="2" width="72.00390625" style="283" customWidth="1"/>
    <col min="3" max="3" width="25.00390625" style="284" customWidth="1"/>
    <col min="4" max="16384" width="9.375" style="2" customWidth="1"/>
  </cols>
  <sheetData>
    <row r="1" spans="1:3" s="1" customFormat="1" ht="16.5" customHeight="1" thickBot="1">
      <c r="A1" s="108"/>
      <c r="B1" s="110"/>
      <c r="C1" s="133"/>
    </row>
    <row r="2" spans="1:3" s="59" customFormat="1" ht="21" customHeight="1">
      <c r="A2" s="229" t="s">
        <v>85</v>
      </c>
      <c r="B2" s="202" t="s">
        <v>188</v>
      </c>
      <c r="C2" s="204" t="s">
        <v>76</v>
      </c>
    </row>
    <row r="3" spans="1:3" s="59" customFormat="1" ht="16.5" thickBot="1">
      <c r="A3" s="111" t="s">
        <v>184</v>
      </c>
      <c r="B3" s="203" t="s">
        <v>395</v>
      </c>
      <c r="C3" s="475" t="s">
        <v>83</v>
      </c>
    </row>
    <row r="4" spans="1:3" s="60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205" t="s">
        <v>78</v>
      </c>
    </row>
    <row r="6" spans="1:3" s="51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51" customFormat="1" ht="15.75" customHeight="1" thickBot="1">
      <c r="A7" s="116"/>
      <c r="B7" s="117" t="s">
        <v>79</v>
      </c>
      <c r="C7" s="206"/>
    </row>
    <row r="8" spans="1:3" s="51" customFormat="1" ht="12" customHeight="1" thickBot="1">
      <c r="A8" s="32" t="s">
        <v>41</v>
      </c>
      <c r="B8" s="20" t="s">
        <v>212</v>
      </c>
      <c r="C8" s="149">
        <f>+C9+C10+C11+C12+C13+C14</f>
        <v>1031461139</v>
      </c>
    </row>
    <row r="9" spans="1:3" s="61" customFormat="1" ht="12" customHeight="1">
      <c r="A9" s="253" t="s">
        <v>117</v>
      </c>
      <c r="B9" s="239" t="s">
        <v>213</v>
      </c>
      <c r="C9" s="277">
        <f>227512539+905743</f>
        <v>228418282</v>
      </c>
    </row>
    <row r="10" spans="1:3" s="62" customFormat="1" ht="12" customHeight="1">
      <c r="A10" s="254" t="s">
        <v>118</v>
      </c>
      <c r="B10" s="240" t="s">
        <v>214</v>
      </c>
      <c r="C10" s="153">
        <f>218107294</f>
        <v>218107294</v>
      </c>
    </row>
    <row r="11" spans="1:3" s="62" customFormat="1" ht="12" customHeight="1">
      <c r="A11" s="254" t="s">
        <v>119</v>
      </c>
      <c r="B11" s="240" t="s">
        <v>215</v>
      </c>
      <c r="C11" s="153">
        <f>121200000+67844165+177597260+4526280+11511000+24250000-35761000</f>
        <v>371167705</v>
      </c>
    </row>
    <row r="12" spans="1:3" s="62" customFormat="1" ht="12" customHeight="1">
      <c r="A12" s="254" t="s">
        <v>120</v>
      </c>
      <c r="B12" s="240" t="s">
        <v>216</v>
      </c>
      <c r="C12" s="153">
        <f>4412740+15262320+10629000-4412740</f>
        <v>25891320</v>
      </c>
    </row>
    <row r="13" spans="1:3" s="62" customFormat="1" ht="12" customHeight="1">
      <c r="A13" s="254" t="s">
        <v>147</v>
      </c>
      <c r="B13" s="240" t="s">
        <v>576</v>
      </c>
      <c r="C13" s="153">
        <f>1060845+3551000+168707597+58000+128000+13957152+413944</f>
        <v>187876538</v>
      </c>
    </row>
    <row r="14" spans="1:3" s="61" customFormat="1" ht="12" customHeight="1" thickBot="1">
      <c r="A14" s="255" t="s">
        <v>121</v>
      </c>
      <c r="B14" s="241" t="s">
        <v>516</v>
      </c>
      <c r="C14" s="150"/>
    </row>
    <row r="15" spans="1:3" s="61" customFormat="1" ht="12" customHeight="1" thickBot="1">
      <c r="A15" s="32" t="s">
        <v>42</v>
      </c>
      <c r="B15" s="144" t="s">
        <v>217</v>
      </c>
      <c r="C15" s="149">
        <f>+C16+C17+C18+C19+C20</f>
        <v>391704588</v>
      </c>
    </row>
    <row r="16" spans="1:3" s="61" customFormat="1" ht="12" customHeight="1">
      <c r="A16" s="253" t="s">
        <v>123</v>
      </c>
      <c r="B16" s="239" t="s">
        <v>218</v>
      </c>
      <c r="C16" s="151"/>
    </row>
    <row r="17" spans="1:3" s="61" customFormat="1" ht="12" customHeight="1">
      <c r="A17" s="254" t="s">
        <v>124</v>
      </c>
      <c r="B17" s="240" t="s">
        <v>219</v>
      </c>
      <c r="C17" s="150"/>
    </row>
    <row r="18" spans="1:3" s="61" customFormat="1" ht="12" customHeight="1">
      <c r="A18" s="254" t="s">
        <v>125</v>
      </c>
      <c r="B18" s="240" t="s">
        <v>388</v>
      </c>
      <c r="C18" s="150"/>
    </row>
    <row r="19" spans="1:3" s="61" customFormat="1" ht="12" customHeight="1">
      <c r="A19" s="254" t="s">
        <v>126</v>
      </c>
      <c r="B19" s="240" t="s">
        <v>389</v>
      </c>
      <c r="C19" s="150"/>
    </row>
    <row r="20" spans="1:3" s="61" customFormat="1" ht="12" customHeight="1">
      <c r="A20" s="254" t="s">
        <v>127</v>
      </c>
      <c r="B20" s="240" t="s">
        <v>220</v>
      </c>
      <c r="C20" s="153">
        <f>210000+65342000+25310845+9303887+291175856+362000</f>
        <v>391704588</v>
      </c>
    </row>
    <row r="21" spans="1:3" s="62" customFormat="1" ht="12" customHeight="1" thickBot="1">
      <c r="A21" s="255" t="s">
        <v>136</v>
      </c>
      <c r="B21" s="241" t="s">
        <v>221</v>
      </c>
      <c r="C21" s="152"/>
    </row>
    <row r="22" spans="1:3" s="62" customFormat="1" ht="12" customHeight="1" thickBot="1">
      <c r="A22" s="32" t="s">
        <v>43</v>
      </c>
      <c r="B22" s="20" t="s">
        <v>222</v>
      </c>
      <c r="C22" s="149">
        <f>+C23+C24+C25+C26+C27</f>
        <v>18976576</v>
      </c>
    </row>
    <row r="23" spans="1:3" s="62" customFormat="1" ht="12" customHeight="1">
      <c r="A23" s="253" t="s">
        <v>106</v>
      </c>
      <c r="B23" s="239" t="s">
        <v>223</v>
      </c>
      <c r="C23" s="486"/>
    </row>
    <row r="24" spans="1:3" s="61" customFormat="1" ht="12" customHeight="1">
      <c r="A24" s="254" t="s">
        <v>107</v>
      </c>
      <c r="B24" s="240" t="s">
        <v>224</v>
      </c>
      <c r="C24" s="153"/>
    </row>
    <row r="25" spans="1:3" s="62" customFormat="1" ht="12" customHeight="1">
      <c r="A25" s="254" t="s">
        <v>108</v>
      </c>
      <c r="B25" s="240" t="s">
        <v>390</v>
      </c>
      <c r="C25" s="153"/>
    </row>
    <row r="26" spans="1:3" s="62" customFormat="1" ht="12" customHeight="1">
      <c r="A26" s="254" t="s">
        <v>109</v>
      </c>
      <c r="B26" s="240" t="s">
        <v>391</v>
      </c>
      <c r="C26" s="153"/>
    </row>
    <row r="27" spans="1:3" s="62" customFormat="1" ht="12" customHeight="1">
      <c r="A27" s="254" t="s">
        <v>159</v>
      </c>
      <c r="B27" s="240" t="s">
        <v>225</v>
      </c>
      <c r="C27" s="153">
        <f>3797300+15179276</f>
        <v>18976576</v>
      </c>
    </row>
    <row r="28" spans="1:3" s="62" customFormat="1" ht="12" customHeight="1" thickBot="1">
      <c r="A28" s="255" t="s">
        <v>160</v>
      </c>
      <c r="B28" s="241" t="s">
        <v>226</v>
      </c>
      <c r="C28" s="228">
        <v>3797300</v>
      </c>
    </row>
    <row r="29" spans="1:3" s="62" customFormat="1" ht="12" customHeight="1" thickBot="1">
      <c r="A29" s="32" t="s">
        <v>161</v>
      </c>
      <c r="B29" s="20" t="s">
        <v>227</v>
      </c>
      <c r="C29" s="154">
        <f>+C30+C34+C35+C36</f>
        <v>319390000</v>
      </c>
    </row>
    <row r="30" spans="1:3" s="62" customFormat="1" ht="12" customHeight="1">
      <c r="A30" s="253" t="s">
        <v>228</v>
      </c>
      <c r="B30" s="239" t="s">
        <v>577</v>
      </c>
      <c r="C30" s="234">
        <f>SUM(C31:C33)</f>
        <v>282830000</v>
      </c>
    </row>
    <row r="31" spans="1:3" s="62" customFormat="1" ht="12" customHeight="1">
      <c r="A31" s="254" t="s">
        <v>229</v>
      </c>
      <c r="B31" s="240" t="s">
        <v>234</v>
      </c>
      <c r="C31" s="150">
        <f>8990000+70000000</f>
        <v>78990000</v>
      </c>
    </row>
    <row r="32" spans="1:3" s="62" customFormat="1" ht="12" customHeight="1">
      <c r="A32" s="254" t="s">
        <v>230</v>
      </c>
      <c r="B32" s="240" t="s">
        <v>619</v>
      </c>
      <c r="C32" s="150">
        <v>203840000</v>
      </c>
    </row>
    <row r="33" spans="1:3" s="62" customFormat="1" ht="12" customHeight="1">
      <c r="A33" s="254" t="s">
        <v>518</v>
      </c>
      <c r="B33" s="240" t="s">
        <v>616</v>
      </c>
      <c r="C33" s="153"/>
    </row>
    <row r="34" spans="1:3" s="62" customFormat="1" ht="12" customHeight="1">
      <c r="A34" s="254" t="s">
        <v>231</v>
      </c>
      <c r="B34" s="240" t="s">
        <v>236</v>
      </c>
      <c r="C34" s="150">
        <f>27000000</f>
        <v>27000000</v>
      </c>
    </row>
    <row r="35" spans="1:3" s="62" customFormat="1" ht="12" customHeight="1">
      <c r="A35" s="254" t="s">
        <v>232</v>
      </c>
      <c r="B35" s="240" t="s">
        <v>237</v>
      </c>
      <c r="C35" s="150">
        <f>4060000-4000000</f>
        <v>60000</v>
      </c>
    </row>
    <row r="36" spans="1:3" s="62" customFormat="1" ht="12" customHeight="1" thickBot="1">
      <c r="A36" s="255" t="s">
        <v>233</v>
      </c>
      <c r="B36" s="241" t="s">
        <v>238</v>
      </c>
      <c r="C36" s="228">
        <f>5500000+4000000</f>
        <v>9500000</v>
      </c>
    </row>
    <row r="37" spans="1:3" s="62" customFormat="1" ht="12" customHeight="1" thickBot="1">
      <c r="A37" s="32" t="s">
        <v>45</v>
      </c>
      <c r="B37" s="20" t="s">
        <v>520</v>
      </c>
      <c r="C37" s="149">
        <f>SUM(C38:C48)</f>
        <v>43566000</v>
      </c>
    </row>
    <row r="38" spans="1:3" s="62" customFormat="1" ht="12" customHeight="1">
      <c r="A38" s="253" t="s">
        <v>110</v>
      </c>
      <c r="B38" s="239" t="s">
        <v>241</v>
      </c>
      <c r="C38" s="277">
        <f>4000000+5000000</f>
        <v>9000000</v>
      </c>
    </row>
    <row r="39" spans="1:3" s="62" customFormat="1" ht="12" customHeight="1">
      <c r="A39" s="254" t="s">
        <v>111</v>
      </c>
      <c r="B39" s="240" t="s">
        <v>242</v>
      </c>
      <c r="C39" s="153">
        <f>100000+12004000</f>
        <v>12104000</v>
      </c>
    </row>
    <row r="40" spans="1:3" s="62" customFormat="1" ht="12" customHeight="1">
      <c r="A40" s="254" t="s">
        <v>112</v>
      </c>
      <c r="B40" s="240" t="s">
        <v>243</v>
      </c>
      <c r="C40" s="153">
        <f>8458000+947000</f>
        <v>9405000</v>
      </c>
    </row>
    <row r="41" spans="1:3" s="62" customFormat="1" ht="12" customHeight="1">
      <c r="A41" s="254" t="s">
        <v>163</v>
      </c>
      <c r="B41" s="240" t="s">
        <v>244</v>
      </c>
      <c r="C41" s="153">
        <f>430000</f>
        <v>430000</v>
      </c>
    </row>
    <row r="42" spans="1:3" s="62" customFormat="1" ht="12" customHeight="1">
      <c r="A42" s="254" t="s">
        <v>164</v>
      </c>
      <c r="B42" s="240" t="s">
        <v>245</v>
      </c>
      <c r="C42" s="153"/>
    </row>
    <row r="43" spans="1:3" s="62" customFormat="1" ht="12" customHeight="1">
      <c r="A43" s="254" t="s">
        <v>165</v>
      </c>
      <c r="B43" s="240" t="s">
        <v>246</v>
      </c>
      <c r="C43" s="153">
        <f>3242000+5853000+378000+600000+1350000</f>
        <v>11423000</v>
      </c>
    </row>
    <row r="44" spans="1:3" s="62" customFormat="1" ht="12" customHeight="1">
      <c r="A44" s="254" t="s">
        <v>166</v>
      </c>
      <c r="B44" s="240" t="s">
        <v>247</v>
      </c>
      <c r="C44" s="153"/>
    </row>
    <row r="45" spans="1:3" s="62" customFormat="1" ht="12" customHeight="1">
      <c r="A45" s="254" t="s">
        <v>167</v>
      </c>
      <c r="B45" s="240" t="s">
        <v>248</v>
      </c>
      <c r="C45" s="153"/>
    </row>
    <row r="46" spans="1:3" s="62" customFormat="1" ht="12" customHeight="1">
      <c r="A46" s="254" t="s">
        <v>239</v>
      </c>
      <c r="B46" s="240" t="s">
        <v>249</v>
      </c>
      <c r="C46" s="153"/>
    </row>
    <row r="47" spans="1:3" s="62" customFormat="1" ht="12" customHeight="1">
      <c r="A47" s="255" t="s">
        <v>240</v>
      </c>
      <c r="B47" s="241" t="s">
        <v>521</v>
      </c>
      <c r="C47" s="228">
        <f>500000</f>
        <v>500000</v>
      </c>
    </row>
    <row r="48" spans="1:3" s="62" customFormat="1" ht="12" customHeight="1" thickBot="1">
      <c r="A48" s="255" t="s">
        <v>522</v>
      </c>
      <c r="B48" s="241" t="s">
        <v>250</v>
      </c>
      <c r="C48" s="228">
        <v>704000</v>
      </c>
    </row>
    <row r="49" spans="1:3" s="62" customFormat="1" ht="12" customHeight="1" thickBot="1">
      <c r="A49" s="32" t="s">
        <v>46</v>
      </c>
      <c r="B49" s="20" t="s">
        <v>251</v>
      </c>
      <c r="C49" s="149">
        <f>SUM(C50:C54)</f>
        <v>25179000</v>
      </c>
    </row>
    <row r="50" spans="1:3" s="62" customFormat="1" ht="12" customHeight="1">
      <c r="A50" s="253" t="s">
        <v>113</v>
      </c>
      <c r="B50" s="239" t="s">
        <v>255</v>
      </c>
      <c r="C50" s="277"/>
    </row>
    <row r="51" spans="1:3" s="62" customFormat="1" ht="12" customHeight="1">
      <c r="A51" s="254" t="s">
        <v>114</v>
      </c>
      <c r="B51" s="240" t="s">
        <v>256</v>
      </c>
      <c r="C51" s="153">
        <f>25179000</f>
        <v>25179000</v>
      </c>
    </row>
    <row r="52" spans="1:3" s="62" customFormat="1" ht="12" customHeight="1">
      <c r="A52" s="254" t="s">
        <v>252</v>
      </c>
      <c r="B52" s="240" t="s">
        <v>257</v>
      </c>
      <c r="C52" s="153"/>
    </row>
    <row r="53" spans="1:3" s="62" customFormat="1" ht="12" customHeight="1">
      <c r="A53" s="254" t="s">
        <v>253</v>
      </c>
      <c r="B53" s="240" t="s">
        <v>258</v>
      </c>
      <c r="C53" s="153"/>
    </row>
    <row r="54" spans="1:3" s="62" customFormat="1" ht="12" customHeight="1" thickBot="1">
      <c r="A54" s="255" t="s">
        <v>254</v>
      </c>
      <c r="B54" s="241" t="s">
        <v>259</v>
      </c>
      <c r="C54" s="228"/>
    </row>
    <row r="55" spans="1:3" s="62" customFormat="1" ht="12" customHeight="1" thickBot="1">
      <c r="A55" s="32" t="s">
        <v>168</v>
      </c>
      <c r="B55" s="20" t="s">
        <v>260</v>
      </c>
      <c r="C55" s="149">
        <f>SUM(C56:C58)</f>
        <v>4458000</v>
      </c>
    </row>
    <row r="56" spans="1:3" s="62" customFormat="1" ht="12" customHeight="1">
      <c r="A56" s="253" t="s">
        <v>115</v>
      </c>
      <c r="B56" s="239" t="s">
        <v>261</v>
      </c>
      <c r="C56" s="151"/>
    </row>
    <row r="57" spans="1:3" s="62" customFormat="1" ht="12" customHeight="1">
      <c r="A57" s="254" t="s">
        <v>116</v>
      </c>
      <c r="B57" s="240" t="s">
        <v>392</v>
      </c>
      <c r="C57" s="153">
        <v>383000</v>
      </c>
    </row>
    <row r="58" spans="1:3" s="62" customFormat="1" ht="12" customHeight="1">
      <c r="A58" s="254" t="s">
        <v>264</v>
      </c>
      <c r="B58" s="240" t="s">
        <v>262</v>
      </c>
      <c r="C58" s="153">
        <v>4075000</v>
      </c>
    </row>
    <row r="59" spans="1:3" s="62" customFormat="1" ht="12" customHeight="1" thickBot="1">
      <c r="A59" s="255" t="s">
        <v>265</v>
      </c>
      <c r="B59" s="241" t="s">
        <v>263</v>
      </c>
      <c r="C59" s="152"/>
    </row>
    <row r="60" spans="1:3" s="62" customFormat="1" ht="12" customHeight="1" thickBot="1">
      <c r="A60" s="32" t="s">
        <v>48</v>
      </c>
      <c r="B60" s="144" t="s">
        <v>266</v>
      </c>
      <c r="C60" s="149">
        <f>SUM(C61:C63)</f>
        <v>0</v>
      </c>
    </row>
    <row r="61" spans="1:3" s="62" customFormat="1" ht="12" customHeight="1">
      <c r="A61" s="253" t="s">
        <v>169</v>
      </c>
      <c r="B61" s="239" t="s">
        <v>268</v>
      </c>
      <c r="C61" s="153"/>
    </row>
    <row r="62" spans="1:3" s="62" customFormat="1" ht="12" customHeight="1">
      <c r="A62" s="254" t="s">
        <v>170</v>
      </c>
      <c r="B62" s="240" t="s">
        <v>393</v>
      </c>
      <c r="C62" s="153"/>
    </row>
    <row r="63" spans="1:3" s="62" customFormat="1" ht="12" customHeight="1">
      <c r="A63" s="254" t="s">
        <v>192</v>
      </c>
      <c r="B63" s="240" t="s">
        <v>269</v>
      </c>
      <c r="C63" s="153"/>
    </row>
    <row r="64" spans="1:3" s="62" customFormat="1" ht="12" customHeight="1" thickBot="1">
      <c r="A64" s="255" t="s">
        <v>267</v>
      </c>
      <c r="B64" s="241" t="s">
        <v>270</v>
      </c>
      <c r="C64" s="153"/>
    </row>
    <row r="65" spans="1:3" s="62" customFormat="1" ht="12" customHeight="1" thickBot="1">
      <c r="A65" s="32" t="s">
        <v>49</v>
      </c>
      <c r="B65" s="20" t="s">
        <v>271</v>
      </c>
      <c r="C65" s="154">
        <f>+C8+C15+C22+C29+C37+C49+C55+C60</f>
        <v>1834735303</v>
      </c>
    </row>
    <row r="66" spans="1:3" s="62" customFormat="1" ht="12" customHeight="1" thickBot="1">
      <c r="A66" s="256" t="s">
        <v>361</v>
      </c>
      <c r="B66" s="144" t="s">
        <v>273</v>
      </c>
      <c r="C66" s="149">
        <f>SUM(C67:C69)</f>
        <v>0</v>
      </c>
    </row>
    <row r="67" spans="1:3" s="62" customFormat="1" ht="12" customHeight="1">
      <c r="A67" s="253" t="s">
        <v>304</v>
      </c>
      <c r="B67" s="239" t="s">
        <v>274</v>
      </c>
      <c r="C67" s="153"/>
    </row>
    <row r="68" spans="1:3" s="62" customFormat="1" ht="12" customHeight="1">
      <c r="A68" s="254" t="s">
        <v>313</v>
      </c>
      <c r="B68" s="240" t="s">
        <v>275</v>
      </c>
      <c r="C68" s="153"/>
    </row>
    <row r="69" spans="1:3" s="62" customFormat="1" ht="12" customHeight="1" thickBot="1">
      <c r="A69" s="255" t="s">
        <v>314</v>
      </c>
      <c r="B69" s="242" t="s">
        <v>276</v>
      </c>
      <c r="C69" s="153"/>
    </row>
    <row r="70" spans="1:3" s="62" customFormat="1" ht="12" customHeight="1" thickBot="1">
      <c r="A70" s="256" t="s">
        <v>277</v>
      </c>
      <c r="B70" s="144" t="s">
        <v>278</v>
      </c>
      <c r="C70" s="149">
        <f>SUM(C71:C74)</f>
        <v>0</v>
      </c>
    </row>
    <row r="71" spans="1:3" s="62" customFormat="1" ht="12" customHeight="1">
      <c r="A71" s="253" t="s">
        <v>148</v>
      </c>
      <c r="B71" s="239" t="s">
        <v>279</v>
      </c>
      <c r="C71" s="153"/>
    </row>
    <row r="72" spans="1:3" s="62" customFormat="1" ht="12" customHeight="1">
      <c r="A72" s="254" t="s">
        <v>149</v>
      </c>
      <c r="B72" s="240" t="s">
        <v>280</v>
      </c>
      <c r="C72" s="153"/>
    </row>
    <row r="73" spans="1:3" s="62" customFormat="1" ht="12" customHeight="1">
      <c r="A73" s="254" t="s">
        <v>305</v>
      </c>
      <c r="B73" s="240" t="s">
        <v>281</v>
      </c>
      <c r="C73" s="153"/>
    </row>
    <row r="74" spans="1:3" s="62" customFormat="1" ht="12" customHeight="1" thickBot="1">
      <c r="A74" s="255" t="s">
        <v>306</v>
      </c>
      <c r="B74" s="241" t="s">
        <v>282</v>
      </c>
      <c r="C74" s="153"/>
    </row>
    <row r="75" spans="1:3" s="62" customFormat="1" ht="12" customHeight="1" thickBot="1">
      <c r="A75" s="256" t="s">
        <v>283</v>
      </c>
      <c r="B75" s="144" t="s">
        <v>284</v>
      </c>
      <c r="C75" s="149">
        <f>SUM(C76:C77)</f>
        <v>289331423</v>
      </c>
    </row>
    <row r="76" spans="1:3" s="62" customFormat="1" ht="12" customHeight="1">
      <c r="A76" s="253" t="s">
        <v>307</v>
      </c>
      <c r="B76" s="239" t="s">
        <v>285</v>
      </c>
      <c r="C76" s="153">
        <v>289331423</v>
      </c>
    </row>
    <row r="77" spans="1:3" s="62" customFormat="1" ht="12" customHeight="1" thickBot="1">
      <c r="A77" s="255" t="s">
        <v>308</v>
      </c>
      <c r="B77" s="241" t="s">
        <v>286</v>
      </c>
      <c r="C77" s="153"/>
    </row>
    <row r="78" spans="1:3" s="61" customFormat="1" ht="12" customHeight="1" thickBot="1">
      <c r="A78" s="256" t="s">
        <v>287</v>
      </c>
      <c r="B78" s="144" t="s">
        <v>288</v>
      </c>
      <c r="C78" s="149">
        <f>SUM(C79:C81)</f>
        <v>0</v>
      </c>
    </row>
    <row r="79" spans="1:3" s="62" customFormat="1" ht="12" customHeight="1">
      <c r="A79" s="253" t="s">
        <v>309</v>
      </c>
      <c r="B79" s="239" t="s">
        <v>289</v>
      </c>
      <c r="C79" s="153"/>
    </row>
    <row r="80" spans="1:3" s="62" customFormat="1" ht="12" customHeight="1">
      <c r="A80" s="254" t="s">
        <v>310</v>
      </c>
      <c r="B80" s="240" t="s">
        <v>290</v>
      </c>
      <c r="C80" s="153"/>
    </row>
    <row r="81" spans="1:3" s="62" customFormat="1" ht="12" customHeight="1" thickBot="1">
      <c r="A81" s="255" t="s">
        <v>311</v>
      </c>
      <c r="B81" s="241" t="s">
        <v>291</v>
      </c>
      <c r="C81" s="153"/>
    </row>
    <row r="82" spans="1:3" s="62" customFormat="1" ht="12" customHeight="1" thickBot="1">
      <c r="A82" s="256" t="s">
        <v>292</v>
      </c>
      <c r="B82" s="144" t="s">
        <v>312</v>
      </c>
      <c r="C82" s="149">
        <f>SUM(C83:C86)</f>
        <v>0</v>
      </c>
    </row>
    <row r="83" spans="1:3" s="62" customFormat="1" ht="12" customHeight="1">
      <c r="A83" s="257" t="s">
        <v>293</v>
      </c>
      <c r="B83" s="239" t="s">
        <v>294</v>
      </c>
      <c r="C83" s="153"/>
    </row>
    <row r="84" spans="1:3" s="62" customFormat="1" ht="12" customHeight="1">
      <c r="A84" s="258" t="s">
        <v>295</v>
      </c>
      <c r="B84" s="240" t="s">
        <v>296</v>
      </c>
      <c r="C84" s="153"/>
    </row>
    <row r="85" spans="1:3" s="62" customFormat="1" ht="12" customHeight="1">
      <c r="A85" s="258" t="s">
        <v>297</v>
      </c>
      <c r="B85" s="240" t="s">
        <v>298</v>
      </c>
      <c r="C85" s="153"/>
    </row>
    <row r="86" spans="1:3" s="61" customFormat="1" ht="12" customHeight="1" thickBot="1">
      <c r="A86" s="259" t="s">
        <v>299</v>
      </c>
      <c r="B86" s="241" t="s">
        <v>300</v>
      </c>
      <c r="C86" s="153"/>
    </row>
    <row r="87" spans="1:3" s="61" customFormat="1" ht="12" customHeight="1" thickBot="1">
      <c r="A87" s="256" t="s">
        <v>301</v>
      </c>
      <c r="B87" s="144" t="s">
        <v>525</v>
      </c>
      <c r="C87" s="278"/>
    </row>
    <row r="88" spans="1:3" s="61" customFormat="1" ht="12" customHeight="1" thickBot="1">
      <c r="A88" s="256" t="s">
        <v>578</v>
      </c>
      <c r="B88" s="144" t="s">
        <v>302</v>
      </c>
      <c r="C88" s="278"/>
    </row>
    <row r="89" spans="1:3" s="61" customFormat="1" ht="12" customHeight="1" thickBot="1">
      <c r="A89" s="256" t="s">
        <v>579</v>
      </c>
      <c r="B89" s="246" t="s">
        <v>526</v>
      </c>
      <c r="C89" s="154">
        <f>+C66+C70+C75+C78+C82+C88+C87</f>
        <v>289331423</v>
      </c>
    </row>
    <row r="90" spans="1:3" s="61" customFormat="1" ht="12" customHeight="1" thickBot="1">
      <c r="A90" s="260" t="s">
        <v>580</v>
      </c>
      <c r="B90" s="247" t="s">
        <v>581</v>
      </c>
      <c r="C90" s="154">
        <f>+C65+C89</f>
        <v>2124066726</v>
      </c>
    </row>
    <row r="91" spans="1:3" s="62" customFormat="1" ht="15" customHeight="1" thickBot="1">
      <c r="A91" s="122"/>
      <c r="B91" s="123"/>
      <c r="C91" s="211"/>
    </row>
    <row r="92" spans="1:3" s="51" customFormat="1" ht="16.5" customHeight="1" thickBot="1">
      <c r="A92" s="126"/>
      <c r="B92" s="127" t="s">
        <v>80</v>
      </c>
      <c r="C92" s="213"/>
    </row>
    <row r="93" spans="1:3" s="63" customFormat="1" ht="12" customHeight="1" thickBot="1">
      <c r="A93" s="231" t="s">
        <v>41</v>
      </c>
      <c r="B93" s="26" t="s">
        <v>592</v>
      </c>
      <c r="C93" s="148">
        <f>+C94+C95+C96+C97+C98+C111</f>
        <v>950596259</v>
      </c>
    </row>
    <row r="94" spans="1:3" ht="12" customHeight="1">
      <c r="A94" s="261" t="s">
        <v>117</v>
      </c>
      <c r="B94" s="9" t="s">
        <v>72</v>
      </c>
      <c r="C94" s="509">
        <f>25364000+1932000+165142000+48000+105000+8381882+232903371+281000+326126</f>
        <v>434483379</v>
      </c>
    </row>
    <row r="95" spans="1:3" ht="12" customHeight="1">
      <c r="A95" s="254" t="s">
        <v>118</v>
      </c>
      <c r="B95" s="7" t="s">
        <v>171</v>
      </c>
      <c r="C95" s="153">
        <f>5239000+425000+14000+19299000+10000+23000+922005+25618911+31000+35874</f>
        <v>51617790</v>
      </c>
    </row>
    <row r="96" spans="1:3" ht="12" customHeight="1">
      <c r="A96" s="254" t="s">
        <v>119</v>
      </c>
      <c r="B96" s="7" t="s">
        <v>146</v>
      </c>
      <c r="C96" s="228">
        <f>11475000+835000+2092900+774087+8715000+1817000+17736000+735000+300000+8485000+34925000+40773000+3429000+576000+3351000+16980000+46750042+1200000+4573000+1350000+36794904+20000+812000+400000+1982000</f>
        <v>246880933</v>
      </c>
    </row>
    <row r="97" spans="1:3" ht="12" customHeight="1">
      <c r="A97" s="254" t="s">
        <v>120</v>
      </c>
      <c r="B97" s="10" t="s">
        <v>172</v>
      </c>
      <c r="C97" s="228">
        <f>70980000</f>
        <v>70980000</v>
      </c>
    </row>
    <row r="98" spans="1:3" ht="12" customHeight="1">
      <c r="A98" s="254" t="s">
        <v>131</v>
      </c>
      <c r="B98" s="18" t="s">
        <v>173</v>
      </c>
      <c r="C98" s="228">
        <f>SUM(C99:C110)</f>
        <v>34666500</v>
      </c>
    </row>
    <row r="99" spans="1:3" ht="12" customHeight="1">
      <c r="A99" s="254" t="s">
        <v>121</v>
      </c>
      <c r="B99" s="7" t="s">
        <v>582</v>
      </c>
      <c r="C99" s="228">
        <f>1500</f>
        <v>1500</v>
      </c>
    </row>
    <row r="100" spans="1:3" ht="12" customHeight="1">
      <c r="A100" s="254" t="s">
        <v>122</v>
      </c>
      <c r="B100" s="90" t="s">
        <v>530</v>
      </c>
      <c r="C100" s="228"/>
    </row>
    <row r="101" spans="1:3" ht="12" customHeight="1">
      <c r="A101" s="254" t="s">
        <v>132</v>
      </c>
      <c r="B101" s="90" t="s">
        <v>531</v>
      </c>
      <c r="C101" s="228"/>
    </row>
    <row r="102" spans="1:3" ht="12" customHeight="1">
      <c r="A102" s="254" t="s">
        <v>133</v>
      </c>
      <c r="B102" s="90" t="s">
        <v>318</v>
      </c>
      <c r="C102" s="228"/>
    </row>
    <row r="103" spans="1:3" ht="12" customHeight="1">
      <c r="A103" s="254" t="s">
        <v>134</v>
      </c>
      <c r="B103" s="91" t="s">
        <v>319</v>
      </c>
      <c r="C103" s="228"/>
    </row>
    <row r="104" spans="1:3" ht="12" customHeight="1">
      <c r="A104" s="254" t="s">
        <v>135</v>
      </c>
      <c r="B104" s="91" t="s">
        <v>320</v>
      </c>
      <c r="C104" s="228"/>
    </row>
    <row r="105" spans="1:3" ht="12" customHeight="1">
      <c r="A105" s="254" t="s">
        <v>137</v>
      </c>
      <c r="B105" s="90" t="s">
        <v>321</v>
      </c>
      <c r="C105" s="228"/>
    </row>
    <row r="106" spans="1:3" ht="12" customHeight="1">
      <c r="A106" s="254" t="s">
        <v>174</v>
      </c>
      <c r="B106" s="90" t="s">
        <v>322</v>
      </c>
      <c r="C106" s="485"/>
    </row>
    <row r="107" spans="1:3" ht="12" customHeight="1">
      <c r="A107" s="254" t="s">
        <v>316</v>
      </c>
      <c r="B107" s="91" t="s">
        <v>323</v>
      </c>
      <c r="C107" s="228"/>
    </row>
    <row r="108" spans="1:3" ht="12" customHeight="1">
      <c r="A108" s="262" t="s">
        <v>317</v>
      </c>
      <c r="B108" s="92" t="s">
        <v>324</v>
      </c>
      <c r="C108" s="228"/>
    </row>
    <row r="109" spans="1:3" ht="12" customHeight="1">
      <c r="A109" s="254" t="s">
        <v>532</v>
      </c>
      <c r="B109" s="92" t="s">
        <v>325</v>
      </c>
      <c r="C109" s="228"/>
    </row>
    <row r="110" spans="1:3" ht="12" customHeight="1">
      <c r="A110" s="254" t="s">
        <v>533</v>
      </c>
      <c r="B110" s="91" t="s">
        <v>326</v>
      </c>
      <c r="C110" s="153">
        <f>536000+1500000+500000+4000000+200000+189000+7562000+16678000+3500000</f>
        <v>34665000</v>
      </c>
    </row>
    <row r="111" spans="1:3" ht="12" customHeight="1">
      <c r="A111" s="254" t="s">
        <v>534</v>
      </c>
      <c r="B111" s="10" t="s">
        <v>73</v>
      </c>
      <c r="C111" s="153">
        <f>SUM(C112:C113)</f>
        <v>111967657</v>
      </c>
    </row>
    <row r="112" spans="1:3" ht="12" customHeight="1">
      <c r="A112" s="255" t="s">
        <v>535</v>
      </c>
      <c r="B112" s="7" t="s">
        <v>583</v>
      </c>
      <c r="C112" s="228">
        <f>20000000-9172313</f>
        <v>10827687</v>
      </c>
    </row>
    <row r="113" spans="1:3" ht="12" customHeight="1" thickBot="1">
      <c r="A113" s="263" t="s">
        <v>537</v>
      </c>
      <c r="B113" s="93" t="s">
        <v>584</v>
      </c>
      <c r="C113" s="526">
        <f>111113300-8373330-1600000</f>
        <v>101139970</v>
      </c>
    </row>
    <row r="114" spans="1:3" ht="12" customHeight="1" thickBot="1">
      <c r="A114" s="32" t="s">
        <v>42</v>
      </c>
      <c r="B114" s="25" t="s">
        <v>327</v>
      </c>
      <c r="C114" s="149">
        <f>+C115+C117+C119</f>
        <v>151097974</v>
      </c>
    </row>
    <row r="115" spans="1:3" ht="12" customHeight="1">
      <c r="A115" s="253" t="s">
        <v>123</v>
      </c>
      <c r="B115" s="7" t="s">
        <v>191</v>
      </c>
      <c r="C115" s="277">
        <f>6621000+787402+10624171+3081125+529000+1654000+447000+2237000+6604000+204000+15179276</f>
        <v>47967974</v>
      </c>
    </row>
    <row r="116" spans="1:3" ht="12" customHeight="1">
      <c r="A116" s="253" t="s">
        <v>124</v>
      </c>
      <c r="B116" s="11" t="s">
        <v>331</v>
      </c>
      <c r="C116" s="277">
        <v>14492698</v>
      </c>
    </row>
    <row r="117" spans="1:3" ht="12" customHeight="1">
      <c r="A117" s="253" t="s">
        <v>125</v>
      </c>
      <c r="B117" s="11" t="s">
        <v>175</v>
      </c>
      <c r="C117" s="153">
        <f>53340000+1513000+2996000+809000</f>
        <v>58658000</v>
      </c>
    </row>
    <row r="118" spans="1:3" ht="12" customHeight="1">
      <c r="A118" s="253" t="s">
        <v>126</v>
      </c>
      <c r="B118" s="11" t="s">
        <v>332</v>
      </c>
      <c r="C118" s="488">
        <v>53340000</v>
      </c>
    </row>
    <row r="119" spans="1:3" ht="12" customHeight="1">
      <c r="A119" s="253" t="s">
        <v>127</v>
      </c>
      <c r="B119" s="146" t="s">
        <v>193</v>
      </c>
      <c r="C119" s="228">
        <f>SUM(C120:C127)</f>
        <v>44472000</v>
      </c>
    </row>
    <row r="120" spans="1:3" ht="12" customHeight="1">
      <c r="A120" s="253" t="s">
        <v>136</v>
      </c>
      <c r="B120" s="145" t="s">
        <v>394</v>
      </c>
      <c r="C120" s="135"/>
    </row>
    <row r="121" spans="1:3" ht="12" customHeight="1">
      <c r="A121" s="253" t="s">
        <v>138</v>
      </c>
      <c r="B121" s="235" t="s">
        <v>337</v>
      </c>
      <c r="C121" s="135"/>
    </row>
    <row r="122" spans="1:3" ht="12" customHeight="1">
      <c r="A122" s="253" t="s">
        <v>176</v>
      </c>
      <c r="B122" s="91" t="s">
        <v>320</v>
      </c>
      <c r="C122" s="135"/>
    </row>
    <row r="123" spans="1:3" ht="12" customHeight="1">
      <c r="A123" s="253" t="s">
        <v>177</v>
      </c>
      <c r="B123" s="91" t="s">
        <v>336</v>
      </c>
      <c r="C123" s="135"/>
    </row>
    <row r="124" spans="1:3" ht="12" customHeight="1">
      <c r="A124" s="253" t="s">
        <v>178</v>
      </c>
      <c r="B124" s="91" t="s">
        <v>335</v>
      </c>
      <c r="C124" s="135"/>
    </row>
    <row r="125" spans="1:3" ht="12" customHeight="1">
      <c r="A125" s="253" t="s">
        <v>328</v>
      </c>
      <c r="B125" s="91" t="s">
        <v>323</v>
      </c>
      <c r="C125" s="135"/>
    </row>
    <row r="126" spans="1:3" ht="12" customHeight="1">
      <c r="A126" s="253" t="s">
        <v>329</v>
      </c>
      <c r="B126" s="91" t="s">
        <v>334</v>
      </c>
      <c r="C126" s="135"/>
    </row>
    <row r="127" spans="1:3" ht="12" customHeight="1" thickBot="1">
      <c r="A127" s="262" t="s">
        <v>330</v>
      </c>
      <c r="B127" s="91" t="s">
        <v>333</v>
      </c>
      <c r="C127" s="136">
        <f>42072000+2400000</f>
        <v>44472000</v>
      </c>
    </row>
    <row r="128" spans="1:6" ht="12" customHeight="1" thickBot="1">
      <c r="A128" s="32" t="s">
        <v>43</v>
      </c>
      <c r="B128" s="86" t="s">
        <v>539</v>
      </c>
      <c r="C128" s="149">
        <f>+C93+C114</f>
        <v>1101694233</v>
      </c>
      <c r="F128" s="506"/>
    </row>
    <row r="129" spans="1:3" ht="12" customHeight="1" thickBot="1">
      <c r="A129" s="32" t="s">
        <v>44</v>
      </c>
      <c r="B129" s="86" t="s">
        <v>540</v>
      </c>
      <c r="C129" s="149">
        <f>+C130+C131+C132</f>
        <v>0</v>
      </c>
    </row>
    <row r="130" spans="1:3" s="63" customFormat="1" ht="12" customHeight="1">
      <c r="A130" s="253" t="s">
        <v>228</v>
      </c>
      <c r="B130" s="8" t="s">
        <v>585</v>
      </c>
      <c r="C130" s="488"/>
    </row>
    <row r="131" spans="1:3" ht="12" customHeight="1">
      <c r="A131" s="253" t="s">
        <v>231</v>
      </c>
      <c r="B131" s="8" t="s">
        <v>542</v>
      </c>
      <c r="C131" s="135"/>
    </row>
    <row r="132" spans="1:3" ht="12" customHeight="1" thickBot="1">
      <c r="A132" s="262" t="s">
        <v>232</v>
      </c>
      <c r="B132" s="6" t="s">
        <v>586</v>
      </c>
      <c r="C132" s="135"/>
    </row>
    <row r="133" spans="1:3" ht="12" customHeight="1" thickBot="1">
      <c r="A133" s="32" t="s">
        <v>45</v>
      </c>
      <c r="B133" s="86" t="s">
        <v>544</v>
      </c>
      <c r="C133" s="149">
        <f>+C134+C135+C136+C137+C138+C139</f>
        <v>0</v>
      </c>
    </row>
    <row r="134" spans="1:3" ht="12" customHeight="1">
      <c r="A134" s="253" t="s">
        <v>110</v>
      </c>
      <c r="B134" s="8" t="s">
        <v>545</v>
      </c>
      <c r="C134" s="135"/>
    </row>
    <row r="135" spans="1:3" ht="12" customHeight="1">
      <c r="A135" s="253" t="s">
        <v>111</v>
      </c>
      <c r="B135" s="8" t="s">
        <v>546</v>
      </c>
      <c r="C135" s="135"/>
    </row>
    <row r="136" spans="1:3" ht="12" customHeight="1">
      <c r="A136" s="253" t="s">
        <v>112</v>
      </c>
      <c r="B136" s="8" t="s">
        <v>547</v>
      </c>
      <c r="C136" s="135"/>
    </row>
    <row r="137" spans="1:3" ht="12" customHeight="1">
      <c r="A137" s="253" t="s">
        <v>163</v>
      </c>
      <c r="B137" s="8" t="s">
        <v>587</v>
      </c>
      <c r="C137" s="135"/>
    </row>
    <row r="138" spans="1:3" ht="12" customHeight="1">
      <c r="A138" s="253" t="s">
        <v>164</v>
      </c>
      <c r="B138" s="8" t="s">
        <v>549</v>
      </c>
      <c r="C138" s="135"/>
    </row>
    <row r="139" spans="1:3" s="63" customFormat="1" ht="12" customHeight="1" thickBot="1">
      <c r="A139" s="262" t="s">
        <v>165</v>
      </c>
      <c r="B139" s="6" t="s">
        <v>550</v>
      </c>
      <c r="C139" s="135"/>
    </row>
    <row r="140" spans="1:11" ht="12" customHeight="1" thickBot="1">
      <c r="A140" s="32" t="s">
        <v>46</v>
      </c>
      <c r="B140" s="86" t="s">
        <v>588</v>
      </c>
      <c r="C140" s="154">
        <f>+C141+C142+C144+C145+C143</f>
        <v>35164932</v>
      </c>
      <c r="K140" s="134"/>
    </row>
    <row r="141" spans="1:3" ht="12.75">
      <c r="A141" s="253" t="s">
        <v>113</v>
      </c>
      <c r="B141" s="8" t="s">
        <v>338</v>
      </c>
      <c r="C141" s="135"/>
    </row>
    <row r="142" spans="1:3" ht="12" customHeight="1">
      <c r="A142" s="253" t="s">
        <v>114</v>
      </c>
      <c r="B142" s="8" t="s">
        <v>339</v>
      </c>
      <c r="C142" s="135">
        <v>35164932</v>
      </c>
    </row>
    <row r="143" spans="1:3" s="63" customFormat="1" ht="12" customHeight="1">
      <c r="A143" s="253" t="s">
        <v>252</v>
      </c>
      <c r="B143" s="8" t="s">
        <v>589</v>
      </c>
      <c r="C143" s="135"/>
    </row>
    <row r="144" spans="1:3" s="63" customFormat="1" ht="12" customHeight="1">
      <c r="A144" s="253" t="s">
        <v>253</v>
      </c>
      <c r="B144" s="8" t="s">
        <v>552</v>
      </c>
      <c r="C144" s="135"/>
    </row>
    <row r="145" spans="1:3" s="63" customFormat="1" ht="12" customHeight="1" thickBot="1">
      <c r="A145" s="262" t="s">
        <v>254</v>
      </c>
      <c r="B145" s="6" t="s">
        <v>357</v>
      </c>
      <c r="C145" s="135"/>
    </row>
    <row r="146" spans="1:3" s="63" customFormat="1" ht="12" customHeight="1" thickBot="1">
      <c r="A146" s="32" t="s">
        <v>47</v>
      </c>
      <c r="B146" s="86" t="s">
        <v>553</v>
      </c>
      <c r="C146" s="157">
        <f>+C147+C148+C149+C150+C151</f>
        <v>0</v>
      </c>
    </row>
    <row r="147" spans="1:3" s="63" customFormat="1" ht="12" customHeight="1">
      <c r="A147" s="253" t="s">
        <v>115</v>
      </c>
      <c r="B147" s="8" t="s">
        <v>554</v>
      </c>
      <c r="C147" s="135"/>
    </row>
    <row r="148" spans="1:3" s="63" customFormat="1" ht="12" customHeight="1">
      <c r="A148" s="253" t="s">
        <v>116</v>
      </c>
      <c r="B148" s="8" t="s">
        <v>555</v>
      </c>
      <c r="C148" s="135"/>
    </row>
    <row r="149" spans="1:3" s="63" customFormat="1" ht="12" customHeight="1">
      <c r="A149" s="253" t="s">
        <v>264</v>
      </c>
      <c r="B149" s="8" t="s">
        <v>556</v>
      </c>
      <c r="C149" s="135"/>
    </row>
    <row r="150" spans="1:3" ht="12.75" customHeight="1">
      <c r="A150" s="253" t="s">
        <v>265</v>
      </c>
      <c r="B150" s="8" t="s">
        <v>590</v>
      </c>
      <c r="C150" s="135"/>
    </row>
    <row r="151" spans="1:3" ht="12.75" customHeight="1" thickBot="1">
      <c r="A151" s="262" t="s">
        <v>558</v>
      </c>
      <c r="B151" s="6" t="s">
        <v>559</v>
      </c>
      <c r="C151" s="136"/>
    </row>
    <row r="152" spans="1:3" ht="12.75" customHeight="1" thickBot="1">
      <c r="A152" s="476" t="s">
        <v>48</v>
      </c>
      <c r="B152" s="86" t="s">
        <v>560</v>
      </c>
      <c r="C152" s="157"/>
    </row>
    <row r="153" spans="1:3" ht="12" customHeight="1" thickBot="1">
      <c r="A153" s="476" t="s">
        <v>49</v>
      </c>
      <c r="B153" s="86" t="s">
        <v>561</v>
      </c>
      <c r="C153" s="157"/>
    </row>
    <row r="154" spans="1:3" ht="15" customHeight="1" thickBot="1">
      <c r="A154" s="32" t="s">
        <v>50</v>
      </c>
      <c r="B154" s="86" t="s">
        <v>562</v>
      </c>
      <c r="C154" s="249">
        <f>+C129+C133+C140+C146+C152+C153</f>
        <v>35164932</v>
      </c>
    </row>
    <row r="155" spans="1:3" ht="13.5" thickBot="1">
      <c r="A155" s="264" t="s">
        <v>51</v>
      </c>
      <c r="B155" s="224" t="s">
        <v>563</v>
      </c>
      <c r="C155" s="249">
        <f>+C128+C154</f>
        <v>1136859165</v>
      </c>
    </row>
    <row r="156" ht="15" customHeight="1" thickBot="1"/>
    <row r="157" spans="1:3" ht="14.25" customHeight="1" thickBot="1">
      <c r="A157" s="131" t="s">
        <v>591</v>
      </c>
      <c r="B157" s="132"/>
      <c r="C157" s="85">
        <v>3</v>
      </c>
    </row>
    <row r="158" spans="1:3" ht="13.5" thickBot="1">
      <c r="A158" s="131" t="s">
        <v>187</v>
      </c>
      <c r="B158" s="132"/>
      <c r="C158" s="85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11/2017.(III.30.))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zoomScaleSheetLayoutView="85" workbookViewId="0" topLeftCell="A82">
      <selection activeCell="C97" sqref="C97"/>
    </sheetView>
  </sheetViews>
  <sheetFormatPr defaultColWidth="9.00390625" defaultRowHeight="12.75"/>
  <cols>
    <col min="1" max="1" width="19.50390625" style="282" customWidth="1"/>
    <col min="2" max="2" width="72.00390625" style="283" customWidth="1"/>
    <col min="3" max="3" width="25.00390625" style="284" customWidth="1"/>
    <col min="4" max="16384" width="9.375" style="2" customWidth="1"/>
  </cols>
  <sheetData>
    <row r="1" spans="1:3" s="1" customFormat="1" ht="16.5" customHeight="1" thickBot="1">
      <c r="A1" s="108"/>
      <c r="B1" s="110"/>
      <c r="C1" s="133"/>
    </row>
    <row r="2" spans="1:3" s="59" customFormat="1" ht="21" customHeight="1">
      <c r="A2" s="229" t="s">
        <v>85</v>
      </c>
      <c r="B2" s="202" t="s">
        <v>188</v>
      </c>
      <c r="C2" s="204" t="s">
        <v>76</v>
      </c>
    </row>
    <row r="3" spans="1:3" s="59" customFormat="1" ht="16.5" thickBot="1">
      <c r="A3" s="111" t="s">
        <v>184</v>
      </c>
      <c r="B3" s="203" t="s">
        <v>396</v>
      </c>
      <c r="C3" s="475" t="s">
        <v>84</v>
      </c>
    </row>
    <row r="4" spans="1:3" s="60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205" t="s">
        <v>78</v>
      </c>
    </row>
    <row r="6" spans="1:3" s="51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51" customFormat="1" ht="15.75" customHeight="1" thickBot="1">
      <c r="A7" s="116"/>
      <c r="B7" s="117" t="s">
        <v>79</v>
      </c>
      <c r="C7" s="206"/>
    </row>
    <row r="8" spans="1:3" s="51" customFormat="1" ht="12" customHeight="1" thickBot="1">
      <c r="A8" s="32" t="s">
        <v>41</v>
      </c>
      <c r="B8" s="20" t="s">
        <v>212</v>
      </c>
      <c r="C8" s="149">
        <f>+C9+C10+C11+C12+C13+C14</f>
        <v>143500069</v>
      </c>
    </row>
    <row r="9" spans="1:3" s="61" customFormat="1" ht="12" customHeight="1">
      <c r="A9" s="253" t="s">
        <v>117</v>
      </c>
      <c r="B9" s="239" t="s">
        <v>213</v>
      </c>
      <c r="C9" s="151"/>
    </row>
    <row r="10" spans="1:3" s="62" customFormat="1" ht="12" customHeight="1">
      <c r="A10" s="254" t="s">
        <v>118</v>
      </c>
      <c r="B10" s="240" t="s">
        <v>214</v>
      </c>
      <c r="C10" s="150"/>
    </row>
    <row r="11" spans="1:3" s="62" customFormat="1" ht="12" customHeight="1">
      <c r="A11" s="254" t="s">
        <v>119</v>
      </c>
      <c r="B11" s="240" t="s">
        <v>215</v>
      </c>
      <c r="C11" s="150">
        <f>118423160+15562200</f>
        <v>133985360</v>
      </c>
    </row>
    <row r="12" spans="1:3" s="62" customFormat="1" ht="12" customHeight="1">
      <c r="A12" s="254" t="s">
        <v>120</v>
      </c>
      <c r="B12" s="240" t="s">
        <v>216</v>
      </c>
      <c r="C12" s="150"/>
    </row>
    <row r="13" spans="1:3" s="62" customFormat="1" ht="12" customHeight="1">
      <c r="A13" s="254" t="s">
        <v>147</v>
      </c>
      <c r="B13" s="240" t="s">
        <v>576</v>
      </c>
      <c r="C13" s="153">
        <f>9514709</f>
        <v>9514709</v>
      </c>
    </row>
    <row r="14" spans="1:3" s="61" customFormat="1" ht="12" customHeight="1" thickBot="1">
      <c r="A14" s="255" t="s">
        <v>121</v>
      </c>
      <c r="B14" s="241" t="s">
        <v>516</v>
      </c>
      <c r="C14" s="150"/>
    </row>
    <row r="15" spans="1:3" s="61" customFormat="1" ht="12" customHeight="1" thickBot="1">
      <c r="A15" s="32" t="s">
        <v>42</v>
      </c>
      <c r="B15" s="144" t="s">
        <v>217</v>
      </c>
      <c r="C15" s="149">
        <f>+C16+C17+C18+C19+C20</f>
        <v>112731000</v>
      </c>
    </row>
    <row r="16" spans="1:3" s="61" customFormat="1" ht="12" customHeight="1">
      <c r="A16" s="253" t="s">
        <v>123</v>
      </c>
      <c r="B16" s="239" t="s">
        <v>218</v>
      </c>
      <c r="C16" s="151"/>
    </row>
    <row r="17" spans="1:3" s="61" customFormat="1" ht="12" customHeight="1">
      <c r="A17" s="254" t="s">
        <v>124</v>
      </c>
      <c r="B17" s="240" t="s">
        <v>219</v>
      </c>
      <c r="C17" s="150"/>
    </row>
    <row r="18" spans="1:3" s="61" customFormat="1" ht="12" customHeight="1">
      <c r="A18" s="254" t="s">
        <v>125</v>
      </c>
      <c r="B18" s="240" t="s">
        <v>388</v>
      </c>
      <c r="C18" s="150"/>
    </row>
    <row r="19" spans="1:3" s="61" customFormat="1" ht="12" customHeight="1">
      <c r="A19" s="254" t="s">
        <v>126</v>
      </c>
      <c r="B19" s="240" t="s">
        <v>389</v>
      </c>
      <c r="C19" s="150"/>
    </row>
    <row r="20" spans="1:3" s="61" customFormat="1" ht="12" customHeight="1">
      <c r="A20" s="254" t="s">
        <v>127</v>
      </c>
      <c r="B20" s="240" t="s">
        <v>220</v>
      </c>
      <c r="C20" s="153">
        <f>2285000+110446000</f>
        <v>112731000</v>
      </c>
    </row>
    <row r="21" spans="1:3" s="62" customFormat="1" ht="12" customHeight="1" thickBot="1">
      <c r="A21" s="255" t="s">
        <v>136</v>
      </c>
      <c r="B21" s="241" t="s">
        <v>221</v>
      </c>
      <c r="C21" s="228"/>
    </row>
    <row r="22" spans="1:3" s="62" customFormat="1" ht="12" customHeight="1" thickBot="1">
      <c r="A22" s="32" t="s">
        <v>43</v>
      </c>
      <c r="B22" s="20" t="s">
        <v>222</v>
      </c>
      <c r="C22" s="149">
        <f>+C23+C24+C25+C26+C27</f>
        <v>0</v>
      </c>
    </row>
    <row r="23" spans="1:3" s="62" customFormat="1" ht="12" customHeight="1">
      <c r="A23" s="253" t="s">
        <v>106</v>
      </c>
      <c r="B23" s="239" t="s">
        <v>223</v>
      </c>
      <c r="C23" s="151"/>
    </row>
    <row r="24" spans="1:3" s="61" customFormat="1" ht="12" customHeight="1">
      <c r="A24" s="254" t="s">
        <v>107</v>
      </c>
      <c r="B24" s="240" t="s">
        <v>224</v>
      </c>
      <c r="C24" s="150"/>
    </row>
    <row r="25" spans="1:3" s="62" customFormat="1" ht="12" customHeight="1">
      <c r="A25" s="254" t="s">
        <v>108</v>
      </c>
      <c r="B25" s="240" t="s">
        <v>390</v>
      </c>
      <c r="C25" s="150"/>
    </row>
    <row r="26" spans="1:3" s="62" customFormat="1" ht="12" customHeight="1">
      <c r="A26" s="254" t="s">
        <v>109</v>
      </c>
      <c r="B26" s="240" t="s">
        <v>391</v>
      </c>
      <c r="C26" s="150"/>
    </row>
    <row r="27" spans="1:3" s="62" customFormat="1" ht="12" customHeight="1">
      <c r="A27" s="254" t="s">
        <v>159</v>
      </c>
      <c r="B27" s="240" t="s">
        <v>225</v>
      </c>
      <c r="C27" s="153"/>
    </row>
    <row r="28" spans="1:3" s="62" customFormat="1" ht="12" customHeight="1" thickBot="1">
      <c r="A28" s="255" t="s">
        <v>160</v>
      </c>
      <c r="B28" s="241" t="s">
        <v>226</v>
      </c>
      <c r="C28" s="228"/>
    </row>
    <row r="29" spans="1:3" s="62" customFormat="1" ht="12" customHeight="1" thickBot="1">
      <c r="A29" s="32" t="s">
        <v>161</v>
      </c>
      <c r="B29" s="20" t="s">
        <v>227</v>
      </c>
      <c r="C29" s="154">
        <f>+C30+C34+C35+C36</f>
        <v>0</v>
      </c>
    </row>
    <row r="30" spans="1:3" s="62" customFormat="1" ht="12" customHeight="1">
      <c r="A30" s="253" t="s">
        <v>228</v>
      </c>
      <c r="B30" s="239" t="s">
        <v>577</v>
      </c>
      <c r="C30" s="234">
        <f>+C31+C32+C33</f>
        <v>0</v>
      </c>
    </row>
    <row r="31" spans="1:3" s="62" customFormat="1" ht="12" customHeight="1">
      <c r="A31" s="254" t="s">
        <v>229</v>
      </c>
      <c r="B31" s="240" t="s">
        <v>234</v>
      </c>
      <c r="C31" s="150"/>
    </row>
    <row r="32" spans="1:3" s="62" customFormat="1" ht="12" customHeight="1">
      <c r="A32" s="254" t="s">
        <v>230</v>
      </c>
      <c r="B32" s="240" t="s">
        <v>235</v>
      </c>
      <c r="C32" s="150"/>
    </row>
    <row r="33" spans="1:3" s="62" customFormat="1" ht="12" customHeight="1">
      <c r="A33" s="254" t="s">
        <v>518</v>
      </c>
      <c r="B33" s="463" t="s">
        <v>519</v>
      </c>
      <c r="C33" s="150"/>
    </row>
    <row r="34" spans="1:3" s="62" customFormat="1" ht="12" customHeight="1">
      <c r="A34" s="254" t="s">
        <v>231</v>
      </c>
      <c r="B34" s="240" t="s">
        <v>236</v>
      </c>
      <c r="C34" s="150"/>
    </row>
    <row r="35" spans="1:3" s="62" customFormat="1" ht="12" customHeight="1">
      <c r="A35" s="254" t="s">
        <v>232</v>
      </c>
      <c r="B35" s="240" t="s">
        <v>237</v>
      </c>
      <c r="C35" s="150"/>
    </row>
    <row r="36" spans="1:3" s="62" customFormat="1" ht="12" customHeight="1" thickBot="1">
      <c r="A36" s="255" t="s">
        <v>233</v>
      </c>
      <c r="B36" s="241" t="s">
        <v>238</v>
      </c>
      <c r="C36" s="152"/>
    </row>
    <row r="37" spans="1:3" s="62" customFormat="1" ht="12" customHeight="1" thickBot="1">
      <c r="A37" s="32" t="s">
        <v>45</v>
      </c>
      <c r="B37" s="20" t="s">
        <v>520</v>
      </c>
      <c r="C37" s="149">
        <f>SUM(C38:C48)</f>
        <v>5234000</v>
      </c>
    </row>
    <row r="38" spans="1:3" s="62" customFormat="1" ht="12" customHeight="1">
      <c r="A38" s="253" t="s">
        <v>110</v>
      </c>
      <c r="B38" s="239" t="s">
        <v>241</v>
      </c>
      <c r="C38" s="151">
        <v>3937000</v>
      </c>
    </row>
    <row r="39" spans="1:3" s="62" customFormat="1" ht="12" customHeight="1">
      <c r="A39" s="254" t="s">
        <v>111</v>
      </c>
      <c r="B39" s="240" t="s">
        <v>242</v>
      </c>
      <c r="C39" s="153">
        <f>160000</f>
        <v>160000</v>
      </c>
    </row>
    <row r="40" spans="1:3" s="62" customFormat="1" ht="12" customHeight="1">
      <c r="A40" s="254" t="s">
        <v>112</v>
      </c>
      <c r="B40" s="240" t="s">
        <v>243</v>
      </c>
      <c r="C40" s="153"/>
    </row>
    <row r="41" spans="1:3" s="62" customFormat="1" ht="12" customHeight="1">
      <c r="A41" s="254" t="s">
        <v>163</v>
      </c>
      <c r="B41" s="240" t="s">
        <v>244</v>
      </c>
      <c r="C41" s="150"/>
    </row>
    <row r="42" spans="1:3" s="62" customFormat="1" ht="12" customHeight="1">
      <c r="A42" s="254" t="s">
        <v>164</v>
      </c>
      <c r="B42" s="240" t="s">
        <v>245</v>
      </c>
      <c r="C42" s="150"/>
    </row>
    <row r="43" spans="1:3" s="62" customFormat="1" ht="12" customHeight="1">
      <c r="A43" s="254" t="s">
        <v>165</v>
      </c>
      <c r="B43" s="240" t="s">
        <v>246</v>
      </c>
      <c r="C43" s="150">
        <f>1063000+44000</f>
        <v>1107000</v>
      </c>
    </row>
    <row r="44" spans="1:3" s="62" customFormat="1" ht="12" customHeight="1">
      <c r="A44" s="254" t="s">
        <v>166</v>
      </c>
      <c r="B44" s="240" t="s">
        <v>247</v>
      </c>
      <c r="C44" s="150"/>
    </row>
    <row r="45" spans="1:3" s="62" customFormat="1" ht="12" customHeight="1">
      <c r="A45" s="254" t="s">
        <v>167</v>
      </c>
      <c r="B45" s="240" t="s">
        <v>248</v>
      </c>
      <c r="C45" s="150">
        <v>30000</v>
      </c>
    </row>
    <row r="46" spans="1:3" s="62" customFormat="1" ht="12" customHeight="1">
      <c r="A46" s="254" t="s">
        <v>239</v>
      </c>
      <c r="B46" s="240" t="s">
        <v>249</v>
      </c>
      <c r="C46" s="153"/>
    </row>
    <row r="47" spans="1:3" s="62" customFormat="1" ht="12" customHeight="1">
      <c r="A47" s="255" t="s">
        <v>240</v>
      </c>
      <c r="B47" s="241" t="s">
        <v>521</v>
      </c>
      <c r="C47" s="228"/>
    </row>
    <row r="48" spans="1:3" s="62" customFormat="1" ht="12" customHeight="1" thickBot="1">
      <c r="A48" s="255" t="s">
        <v>522</v>
      </c>
      <c r="B48" s="241" t="s">
        <v>250</v>
      </c>
      <c r="C48" s="228"/>
    </row>
    <row r="49" spans="1:3" s="62" customFormat="1" ht="12" customHeight="1" thickBot="1">
      <c r="A49" s="32" t="s">
        <v>46</v>
      </c>
      <c r="B49" s="20" t="s">
        <v>251</v>
      </c>
      <c r="C49" s="149">
        <f>SUM(C50:C54)</f>
        <v>0</v>
      </c>
    </row>
    <row r="50" spans="1:3" s="62" customFormat="1" ht="12" customHeight="1">
      <c r="A50" s="253" t="s">
        <v>113</v>
      </c>
      <c r="B50" s="239" t="s">
        <v>255</v>
      </c>
      <c r="C50" s="277"/>
    </row>
    <row r="51" spans="1:3" s="62" customFormat="1" ht="12" customHeight="1">
      <c r="A51" s="254" t="s">
        <v>114</v>
      </c>
      <c r="B51" s="240" t="s">
        <v>256</v>
      </c>
      <c r="C51" s="153"/>
    </row>
    <row r="52" spans="1:3" s="62" customFormat="1" ht="12" customHeight="1">
      <c r="A52" s="254" t="s">
        <v>252</v>
      </c>
      <c r="B52" s="240" t="s">
        <v>257</v>
      </c>
      <c r="C52" s="153"/>
    </row>
    <row r="53" spans="1:3" s="62" customFormat="1" ht="12" customHeight="1">
      <c r="A53" s="254" t="s">
        <v>253</v>
      </c>
      <c r="B53" s="240" t="s">
        <v>258</v>
      </c>
      <c r="C53" s="153"/>
    </row>
    <row r="54" spans="1:3" s="62" customFormat="1" ht="12" customHeight="1" thickBot="1">
      <c r="A54" s="255" t="s">
        <v>254</v>
      </c>
      <c r="B54" s="241" t="s">
        <v>259</v>
      </c>
      <c r="C54" s="228"/>
    </row>
    <row r="55" spans="1:3" s="62" customFormat="1" ht="12" customHeight="1" thickBot="1">
      <c r="A55" s="32" t="s">
        <v>168</v>
      </c>
      <c r="B55" s="20" t="s">
        <v>260</v>
      </c>
      <c r="C55" s="149">
        <f>SUM(C56:C58)</f>
        <v>1566000</v>
      </c>
    </row>
    <row r="56" spans="1:3" s="62" customFormat="1" ht="12" customHeight="1">
      <c r="A56" s="253" t="s">
        <v>115</v>
      </c>
      <c r="B56" s="239" t="s">
        <v>261</v>
      </c>
      <c r="C56" s="151"/>
    </row>
    <row r="57" spans="1:3" s="62" customFormat="1" ht="12" customHeight="1">
      <c r="A57" s="254" t="s">
        <v>116</v>
      </c>
      <c r="B57" s="240" t="s">
        <v>392</v>
      </c>
      <c r="C57" s="153">
        <v>1566000</v>
      </c>
    </row>
    <row r="58" spans="1:3" s="62" customFormat="1" ht="12" customHeight="1">
      <c r="A58" s="254" t="s">
        <v>264</v>
      </c>
      <c r="B58" s="240" t="s">
        <v>262</v>
      </c>
      <c r="C58" s="153"/>
    </row>
    <row r="59" spans="1:3" s="62" customFormat="1" ht="12" customHeight="1" thickBot="1">
      <c r="A59" s="255" t="s">
        <v>265</v>
      </c>
      <c r="B59" s="241" t="s">
        <v>263</v>
      </c>
      <c r="C59" s="152"/>
    </row>
    <row r="60" spans="1:3" s="62" customFormat="1" ht="12" customHeight="1" thickBot="1">
      <c r="A60" s="32" t="s">
        <v>48</v>
      </c>
      <c r="B60" s="144" t="s">
        <v>266</v>
      </c>
      <c r="C60" s="149">
        <f>SUM(C61:C63)</f>
        <v>0</v>
      </c>
    </row>
    <row r="61" spans="1:3" s="62" customFormat="1" ht="12" customHeight="1">
      <c r="A61" s="253" t="s">
        <v>169</v>
      </c>
      <c r="B61" s="239" t="s">
        <v>268</v>
      </c>
      <c r="C61" s="153"/>
    </row>
    <row r="62" spans="1:3" s="62" customFormat="1" ht="12" customHeight="1">
      <c r="A62" s="254" t="s">
        <v>170</v>
      </c>
      <c r="B62" s="240" t="s">
        <v>393</v>
      </c>
      <c r="C62" s="153"/>
    </row>
    <row r="63" spans="1:3" s="62" customFormat="1" ht="12" customHeight="1">
      <c r="A63" s="254" t="s">
        <v>192</v>
      </c>
      <c r="B63" s="240" t="s">
        <v>269</v>
      </c>
      <c r="C63" s="153"/>
    </row>
    <row r="64" spans="1:3" s="62" customFormat="1" ht="12" customHeight="1" thickBot="1">
      <c r="A64" s="255" t="s">
        <v>267</v>
      </c>
      <c r="B64" s="241" t="s">
        <v>270</v>
      </c>
      <c r="C64" s="153"/>
    </row>
    <row r="65" spans="1:3" s="62" customFormat="1" ht="12" customHeight="1" thickBot="1">
      <c r="A65" s="32" t="s">
        <v>49</v>
      </c>
      <c r="B65" s="20" t="s">
        <v>271</v>
      </c>
      <c r="C65" s="154">
        <f>+C8+C15+C22+C29+C37+C49+C55+C60</f>
        <v>263031069</v>
      </c>
    </row>
    <row r="66" spans="1:3" s="62" customFormat="1" ht="12" customHeight="1" thickBot="1">
      <c r="A66" s="256" t="s">
        <v>361</v>
      </c>
      <c r="B66" s="144" t="s">
        <v>273</v>
      </c>
      <c r="C66" s="149">
        <f>SUM(C67:C69)</f>
        <v>144100000</v>
      </c>
    </row>
    <row r="67" spans="1:3" s="62" customFormat="1" ht="12" customHeight="1">
      <c r="A67" s="253" t="s">
        <v>304</v>
      </c>
      <c r="B67" s="239" t="s">
        <v>274</v>
      </c>
      <c r="C67" s="492">
        <v>44100000</v>
      </c>
    </row>
    <row r="68" spans="1:3" s="62" customFormat="1" ht="12" customHeight="1">
      <c r="A68" s="254" t="s">
        <v>313</v>
      </c>
      <c r="B68" s="240" t="s">
        <v>275</v>
      </c>
      <c r="C68" s="153">
        <v>100000000</v>
      </c>
    </row>
    <row r="69" spans="1:3" s="62" customFormat="1" ht="12" customHeight="1" thickBot="1">
      <c r="A69" s="255" t="s">
        <v>314</v>
      </c>
      <c r="B69" s="242" t="s">
        <v>276</v>
      </c>
      <c r="C69" s="153"/>
    </row>
    <row r="70" spans="1:3" s="62" customFormat="1" ht="12" customHeight="1" thickBot="1">
      <c r="A70" s="256" t="s">
        <v>277</v>
      </c>
      <c r="B70" s="144" t="s">
        <v>278</v>
      </c>
      <c r="C70" s="149">
        <f>SUM(C71:C74)</f>
        <v>0</v>
      </c>
    </row>
    <row r="71" spans="1:3" s="62" customFormat="1" ht="12" customHeight="1">
      <c r="A71" s="253" t="s">
        <v>148</v>
      </c>
      <c r="B71" s="239" t="s">
        <v>279</v>
      </c>
      <c r="C71" s="153"/>
    </row>
    <row r="72" spans="1:3" s="62" customFormat="1" ht="12" customHeight="1">
      <c r="A72" s="254" t="s">
        <v>149</v>
      </c>
      <c r="B72" s="240" t="s">
        <v>280</v>
      </c>
      <c r="C72" s="153"/>
    </row>
    <row r="73" spans="1:3" s="62" customFormat="1" ht="12" customHeight="1">
      <c r="A73" s="254" t="s">
        <v>305</v>
      </c>
      <c r="B73" s="240" t="s">
        <v>281</v>
      </c>
      <c r="C73" s="153"/>
    </row>
    <row r="74" spans="1:3" s="62" customFormat="1" ht="12" customHeight="1" thickBot="1">
      <c r="A74" s="255" t="s">
        <v>306</v>
      </c>
      <c r="B74" s="241" t="s">
        <v>282</v>
      </c>
      <c r="C74" s="153"/>
    </row>
    <row r="75" spans="1:3" s="62" customFormat="1" ht="12" customHeight="1" thickBot="1">
      <c r="A75" s="256" t="s">
        <v>283</v>
      </c>
      <c r="B75" s="144" t="s">
        <v>284</v>
      </c>
      <c r="C75" s="149">
        <f>SUM(C76:C77)</f>
        <v>0</v>
      </c>
    </row>
    <row r="76" spans="1:3" s="62" customFormat="1" ht="12" customHeight="1">
      <c r="A76" s="253" t="s">
        <v>307</v>
      </c>
      <c r="B76" s="239" t="s">
        <v>285</v>
      </c>
      <c r="C76" s="153"/>
    </row>
    <row r="77" spans="1:3" s="62" customFormat="1" ht="12" customHeight="1" thickBot="1">
      <c r="A77" s="255" t="s">
        <v>308</v>
      </c>
      <c r="B77" s="241" t="s">
        <v>286</v>
      </c>
      <c r="C77" s="153"/>
    </row>
    <row r="78" spans="1:3" s="61" customFormat="1" ht="12" customHeight="1" thickBot="1">
      <c r="A78" s="256" t="s">
        <v>287</v>
      </c>
      <c r="B78" s="144" t="s">
        <v>288</v>
      </c>
      <c r="C78" s="149">
        <f>SUM(C79:C81)</f>
        <v>0</v>
      </c>
    </row>
    <row r="79" spans="1:3" s="62" customFormat="1" ht="12" customHeight="1">
      <c r="A79" s="253" t="s">
        <v>309</v>
      </c>
      <c r="B79" s="239" t="s">
        <v>289</v>
      </c>
      <c r="C79" s="153"/>
    </row>
    <row r="80" spans="1:3" s="62" customFormat="1" ht="12" customHeight="1">
      <c r="A80" s="254" t="s">
        <v>310</v>
      </c>
      <c r="B80" s="240" t="s">
        <v>290</v>
      </c>
      <c r="C80" s="153"/>
    </row>
    <row r="81" spans="1:3" s="62" customFormat="1" ht="12" customHeight="1" thickBot="1">
      <c r="A81" s="255" t="s">
        <v>311</v>
      </c>
      <c r="B81" s="241" t="s">
        <v>291</v>
      </c>
      <c r="C81" s="153"/>
    </row>
    <row r="82" spans="1:3" s="62" customFormat="1" ht="12" customHeight="1" thickBot="1">
      <c r="A82" s="256" t="s">
        <v>292</v>
      </c>
      <c r="B82" s="144" t="s">
        <v>312</v>
      </c>
      <c r="C82" s="149">
        <f>SUM(C83:C86)</f>
        <v>0</v>
      </c>
    </row>
    <row r="83" spans="1:3" s="62" customFormat="1" ht="12" customHeight="1">
      <c r="A83" s="257" t="s">
        <v>293</v>
      </c>
      <c r="B83" s="239" t="s">
        <v>294</v>
      </c>
      <c r="C83" s="153"/>
    </row>
    <row r="84" spans="1:3" s="62" customFormat="1" ht="12" customHeight="1">
      <c r="A84" s="258" t="s">
        <v>295</v>
      </c>
      <c r="B84" s="240" t="s">
        <v>296</v>
      </c>
      <c r="C84" s="153"/>
    </row>
    <row r="85" spans="1:3" s="62" customFormat="1" ht="12" customHeight="1">
      <c r="A85" s="258" t="s">
        <v>297</v>
      </c>
      <c r="B85" s="240" t="s">
        <v>298</v>
      </c>
      <c r="C85" s="153"/>
    </row>
    <row r="86" spans="1:3" s="61" customFormat="1" ht="12" customHeight="1" thickBot="1">
      <c r="A86" s="259" t="s">
        <v>299</v>
      </c>
      <c r="B86" s="241" t="s">
        <v>300</v>
      </c>
      <c r="C86" s="153"/>
    </row>
    <row r="87" spans="1:3" s="61" customFormat="1" ht="12" customHeight="1" thickBot="1">
      <c r="A87" s="256" t="s">
        <v>301</v>
      </c>
      <c r="B87" s="144" t="s">
        <v>525</v>
      </c>
      <c r="C87" s="278"/>
    </row>
    <row r="88" spans="1:3" s="61" customFormat="1" ht="12" customHeight="1" thickBot="1">
      <c r="A88" s="256" t="s">
        <v>578</v>
      </c>
      <c r="B88" s="144" t="s">
        <v>302</v>
      </c>
      <c r="C88" s="278"/>
    </row>
    <row r="89" spans="1:3" s="61" customFormat="1" ht="12" customHeight="1" thickBot="1">
      <c r="A89" s="256" t="s">
        <v>579</v>
      </c>
      <c r="B89" s="246" t="s">
        <v>526</v>
      </c>
      <c r="C89" s="154">
        <f>+C66+C70+C75+C78+C82+C88+C87</f>
        <v>144100000</v>
      </c>
    </row>
    <row r="90" spans="1:3" s="61" customFormat="1" ht="12" customHeight="1" thickBot="1">
      <c r="A90" s="260" t="s">
        <v>580</v>
      </c>
      <c r="B90" s="247" t="s">
        <v>581</v>
      </c>
      <c r="C90" s="154">
        <f>+C65+C89</f>
        <v>407131069</v>
      </c>
    </row>
    <row r="91" spans="1:3" s="62" customFormat="1" ht="15" customHeight="1" thickBot="1">
      <c r="A91" s="122"/>
      <c r="B91" s="123"/>
      <c r="C91" s="211"/>
    </row>
    <row r="92" spans="1:3" s="51" customFormat="1" ht="16.5" customHeight="1" thickBot="1">
      <c r="A92" s="126"/>
      <c r="B92" s="127" t="s">
        <v>80</v>
      </c>
      <c r="C92" s="213"/>
    </row>
    <row r="93" spans="1:3" s="63" customFormat="1" ht="12" customHeight="1" thickBot="1">
      <c r="A93" s="231" t="s">
        <v>41</v>
      </c>
      <c r="B93" s="26" t="s">
        <v>592</v>
      </c>
      <c r="C93" s="148">
        <f>+C94+C95+C96+C97+C98+C111</f>
        <v>39517601</v>
      </c>
    </row>
    <row r="94" spans="1:3" ht="12" customHeight="1">
      <c r="A94" s="261" t="s">
        <v>117</v>
      </c>
      <c r="B94" s="9" t="s">
        <v>72</v>
      </c>
      <c r="C94" s="509">
        <f>310000+175000+172000+24000+3882000+3749000-282000+589000+24000</f>
        <v>8643000</v>
      </c>
    </row>
    <row r="95" spans="1:3" ht="12" customHeight="1">
      <c r="A95" s="254" t="s">
        <v>118</v>
      </c>
      <c r="B95" s="7" t="s">
        <v>171</v>
      </c>
      <c r="C95" s="153">
        <f>62000+33000+48000+808000+1652000-63900+117000+10800</f>
        <v>2666900</v>
      </c>
    </row>
    <row r="96" spans="1:3" ht="12" customHeight="1">
      <c r="A96" s="254" t="s">
        <v>119</v>
      </c>
      <c r="B96" s="7" t="s">
        <v>146</v>
      </c>
      <c r="C96" s="228">
        <f>4801000+800001+376000+120000+386000+50000+18800+32000+22000+11212000+1682000+295900+401000+411000+1600000</f>
        <v>22207701</v>
      </c>
    </row>
    <row r="97" spans="1:3" ht="12" customHeight="1">
      <c r="A97" s="254" t="s">
        <v>120</v>
      </c>
      <c r="B97" s="10" t="s">
        <v>172</v>
      </c>
      <c r="C97" s="228"/>
    </row>
    <row r="98" spans="1:3" ht="12" customHeight="1">
      <c r="A98" s="254" t="s">
        <v>131</v>
      </c>
      <c r="B98" s="18" t="s">
        <v>173</v>
      </c>
      <c r="C98" s="228">
        <f>SUM(C99:C110)</f>
        <v>6000000</v>
      </c>
    </row>
    <row r="99" spans="1:3" ht="12" customHeight="1">
      <c r="A99" s="254" t="s">
        <v>121</v>
      </c>
      <c r="B99" s="7" t="s">
        <v>582</v>
      </c>
      <c r="C99" s="228"/>
    </row>
    <row r="100" spans="1:3" ht="12" customHeight="1">
      <c r="A100" s="254" t="s">
        <v>122</v>
      </c>
      <c r="B100" s="90" t="s">
        <v>530</v>
      </c>
      <c r="C100" s="228"/>
    </row>
    <row r="101" spans="1:3" ht="12" customHeight="1">
      <c r="A101" s="254" t="s">
        <v>132</v>
      </c>
      <c r="B101" s="90" t="s">
        <v>531</v>
      </c>
      <c r="C101" s="228"/>
    </row>
    <row r="102" spans="1:3" ht="12" customHeight="1">
      <c r="A102" s="254" t="s">
        <v>133</v>
      </c>
      <c r="B102" s="90" t="s">
        <v>318</v>
      </c>
      <c r="C102" s="228"/>
    </row>
    <row r="103" spans="1:3" ht="12" customHeight="1">
      <c r="A103" s="254" t="s">
        <v>134</v>
      </c>
      <c r="B103" s="91" t="s">
        <v>319</v>
      </c>
      <c r="C103" s="228"/>
    </row>
    <row r="104" spans="1:3" ht="12" customHeight="1">
      <c r="A104" s="254" t="s">
        <v>135</v>
      </c>
      <c r="B104" s="91" t="s">
        <v>320</v>
      </c>
      <c r="C104" s="228"/>
    </row>
    <row r="105" spans="1:3" ht="12" customHeight="1">
      <c r="A105" s="254" t="s">
        <v>137</v>
      </c>
      <c r="B105" s="90" t="s">
        <v>321</v>
      </c>
      <c r="C105" s="228"/>
    </row>
    <row r="106" spans="1:3" ht="12" customHeight="1">
      <c r="A106" s="254" t="s">
        <v>174</v>
      </c>
      <c r="B106" s="90" t="s">
        <v>322</v>
      </c>
      <c r="C106" s="228"/>
    </row>
    <row r="107" spans="1:3" ht="12" customHeight="1">
      <c r="A107" s="254" t="s">
        <v>316</v>
      </c>
      <c r="B107" s="91" t="s">
        <v>323</v>
      </c>
      <c r="C107" s="228"/>
    </row>
    <row r="108" spans="1:3" ht="12" customHeight="1">
      <c r="A108" s="262" t="s">
        <v>317</v>
      </c>
      <c r="B108" s="92" t="s">
        <v>324</v>
      </c>
      <c r="C108" s="228"/>
    </row>
    <row r="109" spans="1:3" ht="12" customHeight="1">
      <c r="A109" s="254" t="s">
        <v>532</v>
      </c>
      <c r="B109" s="92" t="s">
        <v>325</v>
      </c>
      <c r="C109" s="228"/>
    </row>
    <row r="110" spans="1:3" ht="12" customHeight="1">
      <c r="A110" s="254" t="s">
        <v>533</v>
      </c>
      <c r="B110" s="91" t="s">
        <v>326</v>
      </c>
      <c r="C110" s="153">
        <f>5000000+800000+150000+50000</f>
        <v>6000000</v>
      </c>
    </row>
    <row r="111" spans="1:3" ht="12" customHeight="1">
      <c r="A111" s="254" t="s">
        <v>534</v>
      </c>
      <c r="B111" s="10" t="s">
        <v>73</v>
      </c>
      <c r="C111" s="150"/>
    </row>
    <row r="112" spans="1:3" ht="12" customHeight="1">
      <c r="A112" s="255" t="s">
        <v>535</v>
      </c>
      <c r="B112" s="7" t="s">
        <v>583</v>
      </c>
      <c r="C112" s="152"/>
    </row>
    <row r="113" spans="1:3" ht="12" customHeight="1" thickBot="1">
      <c r="A113" s="263" t="s">
        <v>537</v>
      </c>
      <c r="B113" s="93" t="s">
        <v>584</v>
      </c>
      <c r="C113" s="156"/>
    </row>
    <row r="114" spans="1:3" ht="12" customHeight="1" thickBot="1">
      <c r="A114" s="32" t="s">
        <v>42</v>
      </c>
      <c r="B114" s="25" t="s">
        <v>327</v>
      </c>
      <c r="C114" s="149">
        <f>+C115+C117+C119</f>
        <v>24654202</v>
      </c>
    </row>
    <row r="115" spans="1:3" ht="12" customHeight="1">
      <c r="A115" s="253" t="s">
        <v>123</v>
      </c>
      <c r="B115" s="7" t="s">
        <v>191</v>
      </c>
      <c r="C115" s="277">
        <f>2963001+300001+90200+301000</f>
        <v>3654202</v>
      </c>
    </row>
    <row r="116" spans="1:3" ht="12" customHeight="1">
      <c r="A116" s="253" t="s">
        <v>124</v>
      </c>
      <c r="B116" s="11" t="s">
        <v>331</v>
      </c>
      <c r="C116" s="277"/>
    </row>
    <row r="117" spans="1:3" ht="12" customHeight="1">
      <c r="A117" s="253" t="s">
        <v>125</v>
      </c>
      <c r="B117" s="11" t="s">
        <v>175</v>
      </c>
      <c r="C117" s="150">
        <f>21000000</f>
        <v>21000000</v>
      </c>
    </row>
    <row r="118" spans="1:3" ht="12" customHeight="1">
      <c r="A118" s="253" t="s">
        <v>126</v>
      </c>
      <c r="B118" s="11" t="s">
        <v>332</v>
      </c>
      <c r="C118" s="135"/>
    </row>
    <row r="119" spans="1:3" ht="12" customHeight="1">
      <c r="A119" s="253" t="s">
        <v>127</v>
      </c>
      <c r="B119" s="146" t="s">
        <v>193</v>
      </c>
      <c r="C119" s="500">
        <f>SUM(C120:C127)</f>
        <v>0</v>
      </c>
    </row>
    <row r="120" spans="1:3" ht="12" customHeight="1">
      <c r="A120" s="253" t="s">
        <v>136</v>
      </c>
      <c r="B120" s="145" t="s">
        <v>394</v>
      </c>
      <c r="C120" s="500"/>
    </row>
    <row r="121" spans="1:3" ht="12" customHeight="1">
      <c r="A121" s="253" t="s">
        <v>138</v>
      </c>
      <c r="B121" s="235" t="s">
        <v>337</v>
      </c>
      <c r="C121" s="500"/>
    </row>
    <row r="122" spans="1:3" ht="12" customHeight="1">
      <c r="A122" s="253" t="s">
        <v>176</v>
      </c>
      <c r="B122" s="91" t="s">
        <v>320</v>
      </c>
      <c r="C122" s="500"/>
    </row>
    <row r="123" spans="1:3" ht="12" customHeight="1">
      <c r="A123" s="253" t="s">
        <v>177</v>
      </c>
      <c r="B123" s="91" t="s">
        <v>336</v>
      </c>
      <c r="C123" s="500"/>
    </row>
    <row r="124" spans="1:3" ht="12" customHeight="1">
      <c r="A124" s="253" t="s">
        <v>178</v>
      </c>
      <c r="B124" s="91" t="s">
        <v>335</v>
      </c>
      <c r="C124" s="500"/>
    </row>
    <row r="125" spans="1:3" ht="12" customHeight="1">
      <c r="A125" s="253" t="s">
        <v>328</v>
      </c>
      <c r="B125" s="91" t="s">
        <v>323</v>
      </c>
      <c r="C125" s="500"/>
    </row>
    <row r="126" spans="1:3" ht="12" customHeight="1">
      <c r="A126" s="253" t="s">
        <v>329</v>
      </c>
      <c r="B126" s="91" t="s">
        <v>334</v>
      </c>
      <c r="C126" s="500"/>
    </row>
    <row r="127" spans="1:3" ht="12" customHeight="1" thickBot="1">
      <c r="A127" s="262" t="s">
        <v>330</v>
      </c>
      <c r="B127" s="91" t="s">
        <v>333</v>
      </c>
      <c r="C127" s="501"/>
    </row>
    <row r="128" spans="1:3" ht="12" customHeight="1" thickBot="1">
      <c r="A128" s="32" t="s">
        <v>43</v>
      </c>
      <c r="B128" s="86" t="s">
        <v>539</v>
      </c>
      <c r="C128" s="149">
        <f>+C93+C114</f>
        <v>64171803</v>
      </c>
    </row>
    <row r="129" spans="1:3" ht="12" customHeight="1" thickBot="1">
      <c r="A129" s="32" t="s">
        <v>44</v>
      </c>
      <c r="B129" s="86" t="s">
        <v>540</v>
      </c>
      <c r="C129" s="149">
        <f>+C130+C131+C132</f>
        <v>103161000</v>
      </c>
    </row>
    <row r="130" spans="1:3" s="63" customFormat="1" ht="12" customHeight="1">
      <c r="A130" s="253" t="s">
        <v>228</v>
      </c>
      <c r="B130" s="8" t="s">
        <v>585</v>
      </c>
      <c r="C130" s="488">
        <v>3161000</v>
      </c>
    </row>
    <row r="131" spans="1:3" ht="12" customHeight="1">
      <c r="A131" s="253" t="s">
        <v>231</v>
      </c>
      <c r="B131" s="8" t="s">
        <v>542</v>
      </c>
      <c r="C131" s="135">
        <v>100000000</v>
      </c>
    </row>
    <row r="132" spans="1:3" ht="12" customHeight="1" thickBot="1">
      <c r="A132" s="262" t="s">
        <v>232</v>
      </c>
      <c r="B132" s="6" t="s">
        <v>586</v>
      </c>
      <c r="C132" s="135"/>
    </row>
    <row r="133" spans="1:3" ht="12" customHeight="1" thickBot="1">
      <c r="A133" s="32" t="s">
        <v>45</v>
      </c>
      <c r="B133" s="86" t="s">
        <v>544</v>
      </c>
      <c r="C133" s="149">
        <f>+C134+C135+C136+C137+C138+C139</f>
        <v>0</v>
      </c>
    </row>
    <row r="134" spans="1:3" ht="12" customHeight="1">
      <c r="A134" s="253" t="s">
        <v>110</v>
      </c>
      <c r="B134" s="8" t="s">
        <v>545</v>
      </c>
      <c r="C134" s="135"/>
    </row>
    <row r="135" spans="1:3" ht="12" customHeight="1">
      <c r="A135" s="253" t="s">
        <v>111</v>
      </c>
      <c r="B135" s="8" t="s">
        <v>546</v>
      </c>
      <c r="C135" s="135"/>
    </row>
    <row r="136" spans="1:3" ht="12" customHeight="1">
      <c r="A136" s="253" t="s">
        <v>112</v>
      </c>
      <c r="B136" s="8" t="s">
        <v>547</v>
      </c>
      <c r="C136" s="135"/>
    </row>
    <row r="137" spans="1:3" ht="12" customHeight="1">
      <c r="A137" s="253" t="s">
        <v>163</v>
      </c>
      <c r="B137" s="8" t="s">
        <v>587</v>
      </c>
      <c r="C137" s="135"/>
    </row>
    <row r="138" spans="1:3" ht="12" customHeight="1">
      <c r="A138" s="253" t="s">
        <v>164</v>
      </c>
      <c r="B138" s="8" t="s">
        <v>549</v>
      </c>
      <c r="C138" s="135"/>
    </row>
    <row r="139" spans="1:3" s="63" customFormat="1" ht="12" customHeight="1" thickBot="1">
      <c r="A139" s="262" t="s">
        <v>165</v>
      </c>
      <c r="B139" s="6" t="s">
        <v>550</v>
      </c>
      <c r="C139" s="135"/>
    </row>
    <row r="140" spans="1:11" ht="12" customHeight="1" thickBot="1">
      <c r="A140" s="32" t="s">
        <v>46</v>
      </c>
      <c r="B140" s="86" t="s">
        <v>588</v>
      </c>
      <c r="C140" s="154">
        <f>+C141+C142+C144+C145+C143</f>
        <v>0</v>
      </c>
      <c r="K140" s="134"/>
    </row>
    <row r="141" spans="1:3" ht="12.75">
      <c r="A141" s="253" t="s">
        <v>113</v>
      </c>
      <c r="B141" s="8" t="s">
        <v>338</v>
      </c>
      <c r="C141" s="135"/>
    </row>
    <row r="142" spans="1:3" ht="12" customHeight="1">
      <c r="A142" s="253" t="s">
        <v>114</v>
      </c>
      <c r="B142" s="8" t="s">
        <v>339</v>
      </c>
      <c r="C142" s="135"/>
    </row>
    <row r="143" spans="1:3" s="63" customFormat="1" ht="12" customHeight="1">
      <c r="A143" s="253" t="s">
        <v>252</v>
      </c>
      <c r="B143" s="8" t="s">
        <v>589</v>
      </c>
      <c r="C143" s="135"/>
    </row>
    <row r="144" spans="1:3" s="63" customFormat="1" ht="12" customHeight="1">
      <c r="A144" s="253" t="s">
        <v>253</v>
      </c>
      <c r="B144" s="8" t="s">
        <v>552</v>
      </c>
      <c r="C144" s="135"/>
    </row>
    <row r="145" spans="1:3" s="63" customFormat="1" ht="12" customHeight="1" thickBot="1">
      <c r="A145" s="262" t="s">
        <v>254</v>
      </c>
      <c r="B145" s="6" t="s">
        <v>357</v>
      </c>
      <c r="C145" s="135"/>
    </row>
    <row r="146" spans="1:3" s="63" customFormat="1" ht="12" customHeight="1" thickBot="1">
      <c r="A146" s="32" t="s">
        <v>47</v>
      </c>
      <c r="B146" s="86" t="s">
        <v>553</v>
      </c>
      <c r="C146" s="157">
        <f>+C147+C148+C149+C150+C151</f>
        <v>0</v>
      </c>
    </row>
    <row r="147" spans="1:3" s="63" customFormat="1" ht="12" customHeight="1">
      <c r="A147" s="253" t="s">
        <v>115</v>
      </c>
      <c r="B147" s="8" t="s">
        <v>554</v>
      </c>
      <c r="C147" s="135"/>
    </row>
    <row r="148" spans="1:3" s="63" customFormat="1" ht="12" customHeight="1">
      <c r="A148" s="253" t="s">
        <v>116</v>
      </c>
      <c r="B148" s="8" t="s">
        <v>555</v>
      </c>
      <c r="C148" s="135"/>
    </row>
    <row r="149" spans="1:3" s="63" customFormat="1" ht="12" customHeight="1">
      <c r="A149" s="253" t="s">
        <v>264</v>
      </c>
      <c r="B149" s="8" t="s">
        <v>556</v>
      </c>
      <c r="C149" s="135"/>
    </row>
    <row r="150" spans="1:3" ht="12.75" customHeight="1">
      <c r="A150" s="253" t="s">
        <v>265</v>
      </c>
      <c r="B150" s="8" t="s">
        <v>590</v>
      </c>
      <c r="C150" s="135"/>
    </row>
    <row r="151" spans="1:3" ht="12.75" customHeight="1" thickBot="1">
      <c r="A151" s="262" t="s">
        <v>558</v>
      </c>
      <c r="B151" s="6" t="s">
        <v>559</v>
      </c>
      <c r="C151" s="136"/>
    </row>
    <row r="152" spans="1:3" ht="12.75" customHeight="1" thickBot="1">
      <c r="A152" s="476" t="s">
        <v>48</v>
      </c>
      <c r="B152" s="86" t="s">
        <v>560</v>
      </c>
      <c r="C152" s="157"/>
    </row>
    <row r="153" spans="1:3" ht="12" customHeight="1" thickBot="1">
      <c r="A153" s="476" t="s">
        <v>49</v>
      </c>
      <c r="B153" s="86" t="s">
        <v>561</v>
      </c>
      <c r="C153" s="157"/>
    </row>
    <row r="154" spans="1:3" ht="15" customHeight="1" thickBot="1">
      <c r="A154" s="32" t="s">
        <v>50</v>
      </c>
      <c r="B154" s="86" t="s">
        <v>562</v>
      </c>
      <c r="C154" s="249">
        <f>+C129+C133+C140+C146+C152+C153</f>
        <v>103161000</v>
      </c>
    </row>
    <row r="155" spans="1:3" ht="13.5" thickBot="1">
      <c r="A155" s="264" t="s">
        <v>51</v>
      </c>
      <c r="B155" s="224" t="s">
        <v>563</v>
      </c>
      <c r="C155" s="249">
        <f>+C128+C154</f>
        <v>167332803</v>
      </c>
    </row>
    <row r="156" ht="15" customHeight="1" thickBot="1"/>
    <row r="157" spans="1:3" ht="14.25" customHeight="1" thickBot="1">
      <c r="A157" s="131" t="s">
        <v>591</v>
      </c>
      <c r="B157" s="132"/>
      <c r="C157" s="85"/>
    </row>
    <row r="158" spans="1:3" ht="13.5" thickBot="1">
      <c r="A158" s="131" t="s">
        <v>187</v>
      </c>
      <c r="B158" s="132"/>
      <c r="C158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11/2017.(III.30.)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workbookViewId="0" topLeftCell="A31">
      <selection activeCell="F50" sqref="F50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/>
    </row>
    <row r="2" spans="1:3" s="272" customFormat="1" ht="36" customHeight="1">
      <c r="A2" s="229" t="s">
        <v>185</v>
      </c>
      <c r="B2" s="202" t="s">
        <v>508</v>
      </c>
      <c r="C2" s="216" t="s">
        <v>83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9416500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f>635000+2304000+444500+4150000</f>
        <v>7533500</v>
      </c>
    </row>
    <row r="11" spans="1:3" s="218" customFormat="1" ht="12" customHeight="1">
      <c r="A11" s="267" t="s">
        <v>119</v>
      </c>
      <c r="B11" s="7" t="s">
        <v>243</v>
      </c>
      <c r="C11" s="163">
        <f>500000</f>
        <v>500000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f>1283000</f>
        <v>1283000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>
        <f>100000</f>
        <v>100000</v>
      </c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516"/>
    </row>
    <row r="24" spans="1:3" s="275" customFormat="1" ht="12" customHeight="1" thickBot="1">
      <c r="A24" s="267" t="s">
        <v>126</v>
      </c>
      <c r="B24" s="7" t="s">
        <v>595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596</v>
      </c>
      <c r="C26" s="165">
        <f>+C27+C28+C29</f>
        <v>0</v>
      </c>
    </row>
    <row r="27" spans="1:3" s="275" customFormat="1" ht="12" customHeight="1">
      <c r="A27" s="268" t="s">
        <v>228</v>
      </c>
      <c r="B27" s="269" t="s">
        <v>223</v>
      </c>
      <c r="C27" s="53"/>
    </row>
    <row r="28" spans="1:3" s="275" customFormat="1" ht="12" customHeight="1">
      <c r="A28" s="268" t="s">
        <v>231</v>
      </c>
      <c r="B28" s="269" t="s">
        <v>369</v>
      </c>
      <c r="C28" s="163"/>
    </row>
    <row r="29" spans="1:3" s="275" customFormat="1" ht="12" customHeight="1">
      <c r="A29" s="268" t="s">
        <v>232</v>
      </c>
      <c r="B29" s="270" t="s">
        <v>371</v>
      </c>
      <c r="C29" s="163"/>
    </row>
    <row r="30" spans="1:3" s="275" customFormat="1" ht="12" customHeight="1" thickBot="1">
      <c r="A30" s="267" t="s">
        <v>233</v>
      </c>
      <c r="B30" s="89" t="s">
        <v>597</v>
      </c>
      <c r="C30" s="56"/>
    </row>
    <row r="31" spans="1:3" s="275" customFormat="1" ht="12" customHeight="1" thickBot="1">
      <c r="A31" s="102" t="s">
        <v>45</v>
      </c>
      <c r="B31" s="86" t="s">
        <v>372</v>
      </c>
      <c r="C31" s="165">
        <f>+C32+C33+C34</f>
        <v>0</v>
      </c>
    </row>
    <row r="32" spans="1:3" s="275" customFormat="1" ht="12" customHeight="1">
      <c r="A32" s="268" t="s">
        <v>110</v>
      </c>
      <c r="B32" s="269" t="s">
        <v>255</v>
      </c>
      <c r="C32" s="53"/>
    </row>
    <row r="33" spans="1:3" s="275" customFormat="1" ht="12" customHeight="1">
      <c r="A33" s="268" t="s">
        <v>111</v>
      </c>
      <c r="B33" s="270" t="s">
        <v>256</v>
      </c>
      <c r="C33" s="166"/>
    </row>
    <row r="34" spans="1:3" s="275" customFormat="1" ht="12" customHeight="1" thickBot="1">
      <c r="A34" s="267" t="s">
        <v>112</v>
      </c>
      <c r="B34" s="89" t="s">
        <v>257</v>
      </c>
      <c r="C34" s="56"/>
    </row>
    <row r="35" spans="1:3" s="218" customFormat="1" ht="12" customHeight="1" thickBot="1">
      <c r="A35" s="102" t="s">
        <v>46</v>
      </c>
      <c r="B35" s="86" t="s">
        <v>343</v>
      </c>
      <c r="C35" s="192"/>
    </row>
    <row r="36" spans="1:3" s="218" customFormat="1" ht="12" customHeight="1" thickBot="1">
      <c r="A36" s="102" t="s">
        <v>47</v>
      </c>
      <c r="B36" s="86" t="s">
        <v>373</v>
      </c>
      <c r="C36" s="209"/>
    </row>
    <row r="37" spans="1:3" s="218" customFormat="1" ht="12" customHeight="1" thickBot="1">
      <c r="A37" s="99" t="s">
        <v>48</v>
      </c>
      <c r="B37" s="86" t="s">
        <v>374</v>
      </c>
      <c r="C37" s="210">
        <f>+C8+C20+C25+C26+C31+C35+C36</f>
        <v>9416500</v>
      </c>
    </row>
    <row r="38" spans="1:3" s="218" customFormat="1" ht="12" customHeight="1" thickBot="1">
      <c r="A38" s="120" t="s">
        <v>49</v>
      </c>
      <c r="B38" s="86" t="s">
        <v>375</v>
      </c>
      <c r="C38" s="210">
        <f>+C39+C40+C41</f>
        <v>216160550</v>
      </c>
    </row>
    <row r="39" spans="1:3" s="218" customFormat="1" ht="12" customHeight="1">
      <c r="A39" s="268" t="s">
        <v>376</v>
      </c>
      <c r="B39" s="269" t="s">
        <v>200</v>
      </c>
      <c r="C39" s="502">
        <v>447404</v>
      </c>
    </row>
    <row r="40" spans="1:3" s="218" customFormat="1" ht="12" customHeight="1">
      <c r="A40" s="268" t="s">
        <v>377</v>
      </c>
      <c r="B40" s="270" t="s">
        <v>31</v>
      </c>
      <c r="C40" s="166"/>
    </row>
    <row r="41" spans="1:3" s="275" customFormat="1" ht="12" customHeight="1" thickBot="1">
      <c r="A41" s="267" t="s">
        <v>378</v>
      </c>
      <c r="B41" s="89" t="s">
        <v>379</v>
      </c>
      <c r="C41" s="56">
        <v>215713146</v>
      </c>
    </row>
    <row r="42" spans="1:3" s="275" customFormat="1" ht="15" customHeight="1" thickBot="1">
      <c r="A42" s="120" t="s">
        <v>50</v>
      </c>
      <c r="B42" s="121" t="s">
        <v>380</v>
      </c>
      <c r="C42" s="213">
        <f>+C37+C38</f>
        <v>225577050</v>
      </c>
    </row>
    <row r="43" spans="1:3" s="275" customFormat="1" ht="15" customHeight="1">
      <c r="A43" s="122"/>
      <c r="B43" s="123"/>
      <c r="C43" s="211"/>
    </row>
    <row r="44" spans="1:3" ht="13.5" thickBot="1">
      <c r="A44" s="124"/>
      <c r="B44" s="125"/>
      <c r="C44" s="212"/>
    </row>
    <row r="45" spans="1:3" s="274" customFormat="1" ht="16.5" customHeight="1" thickBot="1">
      <c r="A45" s="126"/>
      <c r="B45" s="127" t="s">
        <v>80</v>
      </c>
      <c r="C45" s="213"/>
    </row>
    <row r="46" spans="1:3" s="276" customFormat="1" ht="12" customHeight="1" thickBot="1">
      <c r="A46" s="102" t="s">
        <v>41</v>
      </c>
      <c r="B46" s="86" t="s">
        <v>381</v>
      </c>
      <c r="C46" s="165">
        <f>SUM(C47:C51)</f>
        <v>223676050</v>
      </c>
    </row>
    <row r="47" spans="1:3" ht="12" customHeight="1">
      <c r="A47" s="267" t="s">
        <v>117</v>
      </c>
      <c r="B47" s="8" t="s">
        <v>72</v>
      </c>
      <c r="C47" s="53">
        <f>525000+118633000+54000-24000</f>
        <v>119188000</v>
      </c>
    </row>
    <row r="48" spans="1:3" ht="12" customHeight="1">
      <c r="A48" s="267" t="s">
        <v>118</v>
      </c>
      <c r="B48" s="7" t="s">
        <v>171</v>
      </c>
      <c r="C48" s="55">
        <f>134000+28092500+97000-10800</f>
        <v>28312700</v>
      </c>
    </row>
    <row r="49" spans="1:3" ht="12" customHeight="1">
      <c r="A49" s="267" t="s">
        <v>119</v>
      </c>
      <c r="B49" s="7" t="s">
        <v>146</v>
      </c>
      <c r="C49" s="55">
        <f>4419000+490000+327500+46477000+323850-171000+59000</f>
        <v>51925350</v>
      </c>
    </row>
    <row r="50" spans="1:3" ht="12" customHeight="1">
      <c r="A50" s="267" t="s">
        <v>120</v>
      </c>
      <c r="B50" s="7" t="s">
        <v>172</v>
      </c>
      <c r="C50" s="55">
        <f>24250000</f>
        <v>24250000</v>
      </c>
    </row>
    <row r="51" spans="1:3" ht="12" customHeight="1" thickBot="1">
      <c r="A51" s="267" t="s">
        <v>147</v>
      </c>
      <c r="B51" s="7" t="s">
        <v>173</v>
      </c>
      <c r="C51" s="55"/>
    </row>
    <row r="52" spans="1:3" ht="12" customHeight="1" thickBot="1">
      <c r="A52" s="102" t="s">
        <v>42</v>
      </c>
      <c r="B52" s="86" t="s">
        <v>382</v>
      </c>
      <c r="C52" s="165">
        <f>SUM(C53:C55)</f>
        <v>1901000</v>
      </c>
    </row>
    <row r="53" spans="1:3" s="276" customFormat="1" ht="12" customHeight="1">
      <c r="A53" s="267" t="s">
        <v>123</v>
      </c>
      <c r="B53" s="8" t="s">
        <v>191</v>
      </c>
      <c r="C53" s="53">
        <f>1901000</f>
        <v>1901000</v>
      </c>
    </row>
    <row r="54" spans="1:3" ht="12" customHeight="1">
      <c r="A54" s="267" t="s">
        <v>124</v>
      </c>
      <c r="B54" s="7" t="s">
        <v>175</v>
      </c>
      <c r="C54" s="55"/>
    </row>
    <row r="55" spans="1:3" ht="12" customHeight="1">
      <c r="A55" s="267" t="s">
        <v>125</v>
      </c>
      <c r="B55" s="7" t="s">
        <v>81</v>
      </c>
      <c r="C55" s="55"/>
    </row>
    <row r="56" spans="1:3" ht="12" customHeight="1" thickBot="1">
      <c r="A56" s="267" t="s">
        <v>126</v>
      </c>
      <c r="B56" s="7" t="s">
        <v>598</v>
      </c>
      <c r="C56" s="55"/>
    </row>
    <row r="57" spans="1:3" ht="12" customHeight="1" thickBot="1">
      <c r="A57" s="102" t="s">
        <v>43</v>
      </c>
      <c r="B57" s="86" t="s">
        <v>35</v>
      </c>
      <c r="C57" s="192"/>
    </row>
    <row r="58" spans="1:3" ht="15" customHeight="1" thickBot="1">
      <c r="A58" s="102" t="s">
        <v>44</v>
      </c>
      <c r="B58" s="128" t="s">
        <v>599</v>
      </c>
      <c r="C58" s="214">
        <f>+C46+C52+C57</f>
        <v>225577050</v>
      </c>
    </row>
    <row r="59" ht="13.5" thickBot="1">
      <c r="C59" s="215"/>
    </row>
    <row r="60" spans="1:3" ht="15" customHeight="1" thickBot="1">
      <c r="A60" s="131" t="s">
        <v>591</v>
      </c>
      <c r="B60" s="132"/>
      <c r="C60" s="85">
        <v>44</v>
      </c>
    </row>
    <row r="61" spans="1:3" ht="14.25" customHeight="1" thickBot="1">
      <c r="A61" s="131" t="s">
        <v>187</v>
      </c>
      <c r="B61" s="132"/>
      <c r="C61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11/2017.(III.30.)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workbookViewId="0" topLeftCell="A31">
      <selection activeCell="F42" sqref="F42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/>
    </row>
    <row r="2" spans="1:3" s="272" customFormat="1" ht="35.25" customHeight="1">
      <c r="A2" s="229" t="s">
        <v>185</v>
      </c>
      <c r="B2" s="202" t="s">
        <v>593</v>
      </c>
      <c r="C2" s="216" t="s">
        <v>83</v>
      </c>
    </row>
    <row r="3" spans="1:3" s="272" customFormat="1" ht="24.75" thickBot="1">
      <c r="A3" s="265" t="s">
        <v>184</v>
      </c>
      <c r="B3" s="203" t="s">
        <v>383</v>
      </c>
      <c r="C3" s="217" t="s">
        <v>83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2748500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f>1814000+350000</f>
        <v>2164000</v>
      </c>
    </row>
    <row r="11" spans="1:3" s="218" customFormat="1" ht="12" customHeight="1">
      <c r="A11" s="267" t="s">
        <v>119</v>
      </c>
      <c r="B11" s="7" t="s">
        <v>243</v>
      </c>
      <c r="C11" s="163"/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f>490000+94500</f>
        <v>584500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487"/>
    </row>
    <row r="24" spans="1:3" s="275" customFormat="1" ht="12" customHeight="1" thickBot="1">
      <c r="A24" s="267" t="s">
        <v>126</v>
      </c>
      <c r="B24" s="7" t="s">
        <v>595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596</v>
      </c>
      <c r="C26" s="165">
        <f>+C27+C28+C29</f>
        <v>0</v>
      </c>
    </row>
    <row r="27" spans="1:3" s="275" customFormat="1" ht="12" customHeight="1">
      <c r="A27" s="268" t="s">
        <v>228</v>
      </c>
      <c r="B27" s="269" t="s">
        <v>223</v>
      </c>
      <c r="C27" s="53"/>
    </row>
    <row r="28" spans="1:3" s="275" customFormat="1" ht="12" customHeight="1">
      <c r="A28" s="268" t="s">
        <v>231</v>
      </c>
      <c r="B28" s="269" t="s">
        <v>369</v>
      </c>
      <c r="C28" s="163"/>
    </row>
    <row r="29" spans="1:3" s="275" customFormat="1" ht="12" customHeight="1">
      <c r="A29" s="268" t="s">
        <v>232</v>
      </c>
      <c r="B29" s="270" t="s">
        <v>371</v>
      </c>
      <c r="C29" s="163"/>
    </row>
    <row r="30" spans="1:3" s="275" customFormat="1" ht="12" customHeight="1" thickBot="1">
      <c r="A30" s="267" t="s">
        <v>233</v>
      </c>
      <c r="B30" s="89" t="s">
        <v>597</v>
      </c>
      <c r="C30" s="56"/>
    </row>
    <row r="31" spans="1:3" s="275" customFormat="1" ht="12" customHeight="1" thickBot="1">
      <c r="A31" s="102" t="s">
        <v>45</v>
      </c>
      <c r="B31" s="86" t="s">
        <v>372</v>
      </c>
      <c r="C31" s="165">
        <f>+C32+C33+C34</f>
        <v>0</v>
      </c>
    </row>
    <row r="32" spans="1:3" s="275" customFormat="1" ht="12" customHeight="1">
      <c r="A32" s="268" t="s">
        <v>110</v>
      </c>
      <c r="B32" s="269" t="s">
        <v>255</v>
      </c>
      <c r="C32" s="53"/>
    </row>
    <row r="33" spans="1:3" s="275" customFormat="1" ht="12" customHeight="1">
      <c r="A33" s="268" t="s">
        <v>111</v>
      </c>
      <c r="B33" s="270" t="s">
        <v>256</v>
      </c>
      <c r="C33" s="166"/>
    </row>
    <row r="34" spans="1:3" s="275" customFormat="1" ht="12" customHeight="1" thickBot="1">
      <c r="A34" s="267" t="s">
        <v>112</v>
      </c>
      <c r="B34" s="89" t="s">
        <v>257</v>
      </c>
      <c r="C34" s="56"/>
    </row>
    <row r="35" spans="1:3" s="218" customFormat="1" ht="12" customHeight="1" thickBot="1">
      <c r="A35" s="102" t="s">
        <v>46</v>
      </c>
      <c r="B35" s="86" t="s">
        <v>343</v>
      </c>
      <c r="C35" s="192"/>
    </row>
    <row r="36" spans="1:3" s="218" customFormat="1" ht="12" customHeight="1" thickBot="1">
      <c r="A36" s="102" t="s">
        <v>47</v>
      </c>
      <c r="B36" s="86" t="s">
        <v>373</v>
      </c>
      <c r="C36" s="209"/>
    </row>
    <row r="37" spans="1:3" s="218" customFormat="1" ht="12" customHeight="1" thickBot="1">
      <c r="A37" s="99" t="s">
        <v>48</v>
      </c>
      <c r="B37" s="86" t="s">
        <v>374</v>
      </c>
      <c r="C37" s="210">
        <f>+C8+C20+C25+C26+C31+C35+C36</f>
        <v>2748500</v>
      </c>
    </row>
    <row r="38" spans="1:3" s="218" customFormat="1" ht="12" customHeight="1" thickBot="1">
      <c r="A38" s="120" t="s">
        <v>49</v>
      </c>
      <c r="B38" s="86" t="s">
        <v>375</v>
      </c>
      <c r="C38" s="210">
        <f>+C39+C40+C41</f>
        <v>23511850</v>
      </c>
    </row>
    <row r="39" spans="1:3" s="218" customFormat="1" ht="12" customHeight="1">
      <c r="A39" s="268" t="s">
        <v>376</v>
      </c>
      <c r="B39" s="269" t="s">
        <v>200</v>
      </c>
      <c r="C39" s="53"/>
    </row>
    <row r="40" spans="1:3" s="218" customFormat="1" ht="12" customHeight="1">
      <c r="A40" s="268" t="s">
        <v>377</v>
      </c>
      <c r="B40" s="270" t="s">
        <v>31</v>
      </c>
      <c r="C40" s="166"/>
    </row>
    <row r="41" spans="1:3" s="275" customFormat="1" ht="12" customHeight="1" thickBot="1">
      <c r="A41" s="267" t="s">
        <v>378</v>
      </c>
      <c r="B41" s="89" t="s">
        <v>379</v>
      </c>
      <c r="C41" s="56">
        <f>23452850+59000</f>
        <v>23511850</v>
      </c>
    </row>
    <row r="42" spans="1:3" s="275" customFormat="1" ht="15" customHeight="1" thickBot="1">
      <c r="A42" s="120" t="s">
        <v>50</v>
      </c>
      <c r="B42" s="121" t="s">
        <v>380</v>
      </c>
      <c r="C42" s="213">
        <f>+C37+C38</f>
        <v>26260350</v>
      </c>
    </row>
    <row r="43" spans="1:3" s="275" customFormat="1" ht="15" customHeight="1">
      <c r="A43" s="122"/>
      <c r="B43" s="123"/>
      <c r="C43" s="211"/>
    </row>
    <row r="44" spans="1:3" ht="13.5" thickBot="1">
      <c r="A44" s="124"/>
      <c r="B44" s="125"/>
      <c r="C44" s="212"/>
    </row>
    <row r="45" spans="1:3" s="274" customFormat="1" ht="16.5" customHeight="1" thickBot="1">
      <c r="A45" s="126"/>
      <c r="B45" s="127" t="s">
        <v>80</v>
      </c>
      <c r="C45" s="213"/>
    </row>
    <row r="46" spans="1:3" s="276" customFormat="1" ht="12" customHeight="1" thickBot="1">
      <c r="A46" s="102" t="s">
        <v>41</v>
      </c>
      <c r="B46" s="86" t="s">
        <v>381</v>
      </c>
      <c r="C46" s="165">
        <f>SUM(C47:C51)</f>
        <v>26260350</v>
      </c>
    </row>
    <row r="47" spans="1:3" ht="12" customHeight="1">
      <c r="A47" s="267" t="s">
        <v>117</v>
      </c>
      <c r="B47" s="8" t="s">
        <v>72</v>
      </c>
      <c r="C47" s="53">
        <f>525000+54000</f>
        <v>579000</v>
      </c>
    </row>
    <row r="48" spans="1:3" ht="12" customHeight="1">
      <c r="A48" s="267" t="s">
        <v>118</v>
      </c>
      <c r="B48" s="7" t="s">
        <v>171</v>
      </c>
      <c r="C48" s="55">
        <f>134000+97000</f>
        <v>231000</v>
      </c>
    </row>
    <row r="49" spans="1:3" ht="12" customHeight="1">
      <c r="A49" s="267" t="s">
        <v>119</v>
      </c>
      <c r="B49" s="7" t="s">
        <v>146</v>
      </c>
      <c r="C49" s="55">
        <f>490000+327500+323850+59000</f>
        <v>1200350</v>
      </c>
    </row>
    <row r="50" spans="1:3" ht="12" customHeight="1">
      <c r="A50" s="267" t="s">
        <v>120</v>
      </c>
      <c r="B50" s="7" t="s">
        <v>172</v>
      </c>
      <c r="C50" s="55">
        <v>24250000</v>
      </c>
    </row>
    <row r="51" spans="1:3" ht="12" customHeight="1" thickBot="1">
      <c r="A51" s="267" t="s">
        <v>147</v>
      </c>
      <c r="B51" s="7" t="s">
        <v>173</v>
      </c>
      <c r="C51" s="55"/>
    </row>
    <row r="52" spans="1:3" ht="12" customHeight="1" thickBot="1">
      <c r="A52" s="102" t="s">
        <v>42</v>
      </c>
      <c r="B52" s="86" t="s">
        <v>382</v>
      </c>
      <c r="C52" s="165">
        <f>SUM(C53:C55)</f>
        <v>0</v>
      </c>
    </row>
    <row r="53" spans="1:3" s="276" customFormat="1" ht="12" customHeight="1">
      <c r="A53" s="267" t="s">
        <v>123</v>
      </c>
      <c r="B53" s="8" t="s">
        <v>191</v>
      </c>
      <c r="C53" s="53"/>
    </row>
    <row r="54" spans="1:3" ht="12" customHeight="1">
      <c r="A54" s="267" t="s">
        <v>124</v>
      </c>
      <c r="B54" s="7" t="s">
        <v>175</v>
      </c>
      <c r="C54" s="55"/>
    </row>
    <row r="55" spans="1:3" ht="12" customHeight="1">
      <c r="A55" s="267" t="s">
        <v>125</v>
      </c>
      <c r="B55" s="7" t="s">
        <v>81</v>
      </c>
      <c r="C55" s="55"/>
    </row>
    <row r="56" spans="1:3" ht="12" customHeight="1" thickBot="1">
      <c r="A56" s="267" t="s">
        <v>126</v>
      </c>
      <c r="B56" s="7" t="s">
        <v>598</v>
      </c>
      <c r="C56" s="55"/>
    </row>
    <row r="57" spans="1:3" ht="15" customHeight="1" thickBot="1">
      <c r="A57" s="102" t="s">
        <v>43</v>
      </c>
      <c r="B57" s="86" t="s">
        <v>35</v>
      </c>
      <c r="C57" s="192"/>
    </row>
    <row r="58" spans="1:3" ht="13.5" thickBot="1">
      <c r="A58" s="102" t="s">
        <v>44</v>
      </c>
      <c r="B58" s="128" t="s">
        <v>599</v>
      </c>
      <c r="C58" s="214">
        <f>+C46+C52+C57</f>
        <v>26260350</v>
      </c>
    </row>
    <row r="59" ht="15" customHeight="1" thickBot="1">
      <c r="C59" s="215"/>
    </row>
    <row r="60" spans="1:3" ht="14.25" customHeight="1" thickBot="1">
      <c r="A60" s="131" t="s">
        <v>591</v>
      </c>
      <c r="B60" s="132"/>
      <c r="C60" s="85">
        <v>0</v>
      </c>
    </row>
    <row r="61" spans="1:3" ht="13.5" thickBot="1">
      <c r="A61" s="131" t="s">
        <v>187</v>
      </c>
      <c r="B61" s="132"/>
      <c r="C61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11/2017.(III.30.)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workbookViewId="0" topLeftCell="A37">
      <selection activeCell="F52" sqref="F52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/>
    </row>
    <row r="2" spans="1:3" s="272" customFormat="1" ht="33.75" customHeight="1">
      <c r="A2" s="229" t="s">
        <v>185</v>
      </c>
      <c r="B2" s="202" t="s">
        <v>593</v>
      </c>
      <c r="C2" s="216" t="s">
        <v>83</v>
      </c>
    </row>
    <row r="3" spans="1:3" s="272" customFormat="1" ht="24.75" thickBot="1">
      <c r="A3" s="265" t="s">
        <v>184</v>
      </c>
      <c r="B3" s="203" t="s">
        <v>600</v>
      </c>
      <c r="C3" s="217" t="s">
        <v>397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6033000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4150000</v>
      </c>
    </row>
    <row r="11" spans="1:3" s="218" customFormat="1" ht="12" customHeight="1">
      <c r="A11" s="267" t="s">
        <v>119</v>
      </c>
      <c r="B11" s="7" t="s">
        <v>243</v>
      </c>
      <c r="C11" s="163">
        <v>500000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v>1283000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>
        <v>100000</v>
      </c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595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596</v>
      </c>
      <c r="C26" s="165">
        <f>+C27+C28+C29</f>
        <v>0</v>
      </c>
    </row>
    <row r="27" spans="1:3" s="275" customFormat="1" ht="12" customHeight="1">
      <c r="A27" s="268" t="s">
        <v>228</v>
      </c>
      <c r="B27" s="269" t="s">
        <v>223</v>
      </c>
      <c r="C27" s="53"/>
    </row>
    <row r="28" spans="1:3" s="275" customFormat="1" ht="12" customHeight="1">
      <c r="A28" s="268" t="s">
        <v>231</v>
      </c>
      <c r="B28" s="269" t="s">
        <v>369</v>
      </c>
      <c r="C28" s="163"/>
    </row>
    <row r="29" spans="1:3" s="275" customFormat="1" ht="12" customHeight="1">
      <c r="A29" s="268" t="s">
        <v>232</v>
      </c>
      <c r="B29" s="270" t="s">
        <v>371</v>
      </c>
      <c r="C29" s="163"/>
    </row>
    <row r="30" spans="1:3" s="275" customFormat="1" ht="12" customHeight="1" thickBot="1">
      <c r="A30" s="267" t="s">
        <v>233</v>
      </c>
      <c r="B30" s="89" t="s">
        <v>597</v>
      </c>
      <c r="C30" s="56"/>
    </row>
    <row r="31" spans="1:3" s="275" customFormat="1" ht="12" customHeight="1" thickBot="1">
      <c r="A31" s="102" t="s">
        <v>45</v>
      </c>
      <c r="B31" s="86" t="s">
        <v>372</v>
      </c>
      <c r="C31" s="165">
        <f>+C32+C33+C34</f>
        <v>0</v>
      </c>
    </row>
    <row r="32" spans="1:3" s="275" customFormat="1" ht="12" customHeight="1">
      <c r="A32" s="268" t="s">
        <v>110</v>
      </c>
      <c r="B32" s="269" t="s">
        <v>255</v>
      </c>
      <c r="C32" s="53"/>
    </row>
    <row r="33" spans="1:3" s="275" customFormat="1" ht="12" customHeight="1">
      <c r="A33" s="268" t="s">
        <v>111</v>
      </c>
      <c r="B33" s="270" t="s">
        <v>256</v>
      </c>
      <c r="C33" s="166"/>
    </row>
    <row r="34" spans="1:3" s="275" customFormat="1" ht="12" customHeight="1" thickBot="1">
      <c r="A34" s="267" t="s">
        <v>112</v>
      </c>
      <c r="B34" s="89" t="s">
        <v>257</v>
      </c>
      <c r="C34" s="56"/>
    </row>
    <row r="35" spans="1:3" s="218" customFormat="1" ht="12" customHeight="1" thickBot="1">
      <c r="A35" s="102" t="s">
        <v>46</v>
      </c>
      <c r="B35" s="86" t="s">
        <v>343</v>
      </c>
      <c r="C35" s="192"/>
    </row>
    <row r="36" spans="1:3" s="218" customFormat="1" ht="12" customHeight="1" thickBot="1">
      <c r="A36" s="102" t="s">
        <v>47</v>
      </c>
      <c r="B36" s="86" t="s">
        <v>373</v>
      </c>
      <c r="C36" s="209"/>
    </row>
    <row r="37" spans="1:3" s="218" customFormat="1" ht="12" customHeight="1" thickBot="1">
      <c r="A37" s="99" t="s">
        <v>48</v>
      </c>
      <c r="B37" s="86" t="s">
        <v>374</v>
      </c>
      <c r="C37" s="210">
        <f>+C8+C20+C25+C26+C31+C35+C36</f>
        <v>6033000</v>
      </c>
    </row>
    <row r="38" spans="1:3" s="218" customFormat="1" ht="12" customHeight="1" thickBot="1">
      <c r="A38" s="120" t="s">
        <v>49</v>
      </c>
      <c r="B38" s="86" t="s">
        <v>375</v>
      </c>
      <c r="C38" s="210">
        <f>+C39+C40+C41</f>
        <v>188864700</v>
      </c>
    </row>
    <row r="39" spans="1:4" s="218" customFormat="1" ht="12" customHeight="1">
      <c r="A39" s="268" t="s">
        <v>376</v>
      </c>
      <c r="B39" s="269" t="s">
        <v>200</v>
      </c>
      <c r="C39" s="502">
        <v>447404</v>
      </c>
      <c r="D39" s="511"/>
    </row>
    <row r="40" spans="1:3" s="218" customFormat="1" ht="12" customHeight="1">
      <c r="A40" s="268" t="s">
        <v>377</v>
      </c>
      <c r="B40" s="270" t="s">
        <v>31</v>
      </c>
      <c r="C40" s="166"/>
    </row>
    <row r="41" spans="1:3" s="275" customFormat="1" ht="12" customHeight="1" thickBot="1">
      <c r="A41" s="267" t="s">
        <v>378</v>
      </c>
      <c r="B41" s="89" t="s">
        <v>379</v>
      </c>
      <c r="C41" s="56">
        <f>188623096-24000-10800-171000</f>
        <v>188417296</v>
      </c>
    </row>
    <row r="42" spans="1:3" s="275" customFormat="1" ht="15" customHeight="1" thickBot="1">
      <c r="A42" s="120" t="s">
        <v>50</v>
      </c>
      <c r="B42" s="121" t="s">
        <v>380</v>
      </c>
      <c r="C42" s="213">
        <f>+C37+C38</f>
        <v>194897700</v>
      </c>
    </row>
    <row r="43" spans="1:3" s="275" customFormat="1" ht="15" customHeight="1">
      <c r="A43" s="122"/>
      <c r="B43" s="123"/>
      <c r="C43" s="211"/>
    </row>
    <row r="44" spans="1:3" ht="13.5" thickBot="1">
      <c r="A44" s="124"/>
      <c r="B44" s="125"/>
      <c r="C44" s="212"/>
    </row>
    <row r="45" spans="1:3" s="274" customFormat="1" ht="16.5" customHeight="1" thickBot="1">
      <c r="A45" s="126"/>
      <c r="B45" s="127" t="s">
        <v>80</v>
      </c>
      <c r="C45" s="213"/>
    </row>
    <row r="46" spans="1:3" s="276" customFormat="1" ht="12" customHeight="1" thickBot="1">
      <c r="A46" s="102" t="s">
        <v>41</v>
      </c>
      <c r="B46" s="86" t="s">
        <v>381</v>
      </c>
      <c r="C46" s="165">
        <f>SUM(C47:C51)</f>
        <v>192996700</v>
      </c>
    </row>
    <row r="47" spans="1:3" ht="12" customHeight="1">
      <c r="A47" s="267" t="s">
        <v>117</v>
      </c>
      <c r="B47" s="8" t="s">
        <v>72</v>
      </c>
      <c r="C47" s="53">
        <f>118633000-24000</f>
        <v>118609000</v>
      </c>
    </row>
    <row r="48" spans="1:3" ht="12" customHeight="1">
      <c r="A48" s="267" t="s">
        <v>118</v>
      </c>
      <c r="B48" s="7" t="s">
        <v>171</v>
      </c>
      <c r="C48" s="55">
        <f>28092500-10800</f>
        <v>28081700</v>
      </c>
    </row>
    <row r="49" spans="1:3" ht="12" customHeight="1">
      <c r="A49" s="267" t="s">
        <v>119</v>
      </c>
      <c r="B49" s="7" t="s">
        <v>146</v>
      </c>
      <c r="C49" s="55">
        <f>46477000-171000</f>
        <v>46306000</v>
      </c>
    </row>
    <row r="50" spans="1:3" ht="12" customHeight="1">
      <c r="A50" s="267" t="s">
        <v>120</v>
      </c>
      <c r="B50" s="7" t="s">
        <v>172</v>
      </c>
      <c r="C50" s="55"/>
    </row>
    <row r="51" spans="1:3" ht="12" customHeight="1" thickBot="1">
      <c r="A51" s="267" t="s">
        <v>147</v>
      </c>
      <c r="B51" s="7" t="s">
        <v>173</v>
      </c>
      <c r="C51" s="55"/>
    </row>
    <row r="52" spans="1:3" ht="12" customHeight="1" thickBot="1">
      <c r="A52" s="102" t="s">
        <v>42</v>
      </c>
      <c r="B52" s="86" t="s">
        <v>382</v>
      </c>
      <c r="C52" s="165">
        <f>SUM(C53:C55)</f>
        <v>1901000</v>
      </c>
    </row>
    <row r="53" spans="1:3" s="276" customFormat="1" ht="12" customHeight="1">
      <c r="A53" s="267" t="s">
        <v>123</v>
      </c>
      <c r="B53" s="8" t="s">
        <v>191</v>
      </c>
      <c r="C53" s="502">
        <v>1901000</v>
      </c>
    </row>
    <row r="54" spans="1:3" ht="12" customHeight="1">
      <c r="A54" s="267" t="s">
        <v>124</v>
      </c>
      <c r="B54" s="7" t="s">
        <v>175</v>
      </c>
      <c r="C54" s="55"/>
    </row>
    <row r="55" spans="1:3" ht="12" customHeight="1">
      <c r="A55" s="267" t="s">
        <v>125</v>
      </c>
      <c r="B55" s="7" t="s">
        <v>81</v>
      </c>
      <c r="C55" s="55"/>
    </row>
    <row r="56" spans="1:3" ht="12" customHeight="1" thickBot="1">
      <c r="A56" s="267" t="s">
        <v>126</v>
      </c>
      <c r="B56" s="7" t="s">
        <v>598</v>
      </c>
      <c r="C56" s="55"/>
    </row>
    <row r="57" spans="1:3" ht="15" customHeight="1" thickBot="1">
      <c r="A57" s="102" t="s">
        <v>43</v>
      </c>
      <c r="B57" s="86" t="s">
        <v>35</v>
      </c>
      <c r="C57" s="192"/>
    </row>
    <row r="58" spans="1:3" ht="13.5" thickBot="1">
      <c r="A58" s="102" t="s">
        <v>44</v>
      </c>
      <c r="B58" s="128" t="s">
        <v>599</v>
      </c>
      <c r="C58" s="214">
        <f>+C46+C52+C57</f>
        <v>194897700</v>
      </c>
    </row>
    <row r="59" ht="15" customHeight="1" thickBot="1">
      <c r="C59" s="215"/>
    </row>
    <row r="60" spans="1:3" ht="14.25" customHeight="1" thickBot="1">
      <c r="A60" s="131" t="s">
        <v>591</v>
      </c>
      <c r="B60" s="132"/>
      <c r="C60" s="85">
        <v>44</v>
      </c>
    </row>
    <row r="61" spans="1:3" ht="13.5" thickBot="1">
      <c r="A61" s="131" t="s">
        <v>187</v>
      </c>
      <c r="B61" s="132"/>
      <c r="C61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11/2017.(III.30.)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C60" sqref="C60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 melléklet a ……/",LEFT(#REF!,4),". (….) önkormányzati rendelethez")</f>
        <v>#REF!</v>
      </c>
    </row>
    <row r="2" spans="1:3" s="272" customFormat="1" ht="33" customHeight="1">
      <c r="A2" s="229" t="s">
        <v>185</v>
      </c>
      <c r="B2" s="202" t="s">
        <v>434</v>
      </c>
      <c r="C2" s="216" t="s">
        <v>84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11960854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600000</v>
      </c>
    </row>
    <row r="11" spans="1:3" s="218" customFormat="1" ht="12" customHeight="1">
      <c r="A11" s="267" t="s">
        <v>119</v>
      </c>
      <c r="B11" s="7" t="s">
        <v>243</v>
      </c>
      <c r="C11" s="163">
        <v>4100000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1409334</v>
      </c>
    </row>
    <row r="14" spans="1:3" s="218" customFormat="1" ht="12" customHeight="1">
      <c r="A14" s="267" t="s">
        <v>121</v>
      </c>
      <c r="B14" s="7" t="s">
        <v>366</v>
      </c>
      <c r="C14" s="163">
        <v>1649520</v>
      </c>
    </row>
    <row r="15" spans="1:3" s="218" customFormat="1" ht="12" customHeight="1">
      <c r="A15" s="267" t="s">
        <v>122</v>
      </c>
      <c r="B15" s="6" t="s">
        <v>367</v>
      </c>
      <c r="C15" s="163">
        <v>4192000</v>
      </c>
    </row>
    <row r="16" spans="1:3" s="218" customFormat="1" ht="12" customHeight="1">
      <c r="A16" s="267" t="s">
        <v>132</v>
      </c>
      <c r="B16" s="7" t="s">
        <v>248</v>
      </c>
      <c r="C16" s="208">
        <v>10000</v>
      </c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11960854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275630544</v>
      </c>
    </row>
    <row r="38" spans="1:3" s="218" customFormat="1" ht="12" customHeight="1">
      <c r="A38" s="268" t="s">
        <v>376</v>
      </c>
      <c r="B38" s="269" t="s">
        <v>200</v>
      </c>
      <c r="C38" s="53">
        <v>291569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275320023+18952</f>
        <v>275338975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287591398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286311323</v>
      </c>
    </row>
    <row r="46" spans="1:3" ht="12" customHeight="1">
      <c r="A46" s="267" t="s">
        <v>117</v>
      </c>
      <c r="B46" s="8" t="s">
        <v>72</v>
      </c>
      <c r="C46" s="53">
        <f>175696049+14952</f>
        <v>175711001</v>
      </c>
    </row>
    <row r="47" spans="1:3" ht="12" customHeight="1">
      <c r="A47" s="267" t="s">
        <v>118</v>
      </c>
      <c r="B47" s="7" t="s">
        <v>171</v>
      </c>
      <c r="C47" s="55">
        <f>41986053+4000</f>
        <v>41990053</v>
      </c>
    </row>
    <row r="48" spans="1:3" ht="12" customHeight="1">
      <c r="A48" s="267" t="s">
        <v>119</v>
      </c>
      <c r="B48" s="7" t="s">
        <v>146</v>
      </c>
      <c r="C48" s="55">
        <v>68610269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1280075</v>
      </c>
    </row>
    <row r="52" spans="1:3" s="276" customFormat="1" ht="12" customHeight="1">
      <c r="A52" s="267" t="s">
        <v>123</v>
      </c>
      <c r="B52" s="8" t="s">
        <v>191</v>
      </c>
      <c r="C52" s="527">
        <v>1280075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287591398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85">
        <v>54</v>
      </c>
    </row>
    <row r="60" spans="1:3" ht="13.5" thickBot="1">
      <c r="A60" s="131" t="s">
        <v>187</v>
      </c>
      <c r="B60" s="13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11/2017.(III.30.)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60" sqref="C60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+CONCATENATE("9.3.1. melléklet a ……/",LEFT(#REF!,4),". (….) önkormányzati rendelethez")</f>
        <v>#REF!</v>
      </c>
    </row>
    <row r="2" spans="1:3" s="272" customFormat="1" ht="33.75" customHeight="1">
      <c r="A2" s="229" t="s">
        <v>185</v>
      </c>
      <c r="B2" s="202" t="s">
        <v>434</v>
      </c>
      <c r="C2" s="216" t="s">
        <v>84</v>
      </c>
    </row>
    <row r="3" spans="1:3" s="272" customFormat="1" ht="24.75" thickBot="1">
      <c r="A3" s="265" t="s">
        <v>184</v>
      </c>
      <c r="B3" s="203" t="s">
        <v>383</v>
      </c>
      <c r="C3" s="217" t="s">
        <v>83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11960854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600000</v>
      </c>
    </row>
    <row r="11" spans="1:3" s="218" customFormat="1" ht="12" customHeight="1">
      <c r="A11" s="267" t="s">
        <v>119</v>
      </c>
      <c r="B11" s="7" t="s">
        <v>243</v>
      </c>
      <c r="C11" s="163">
        <v>4100000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1409334</v>
      </c>
    </row>
    <row r="14" spans="1:3" s="218" customFormat="1" ht="12" customHeight="1">
      <c r="A14" s="267" t="s">
        <v>121</v>
      </c>
      <c r="B14" s="7" t="s">
        <v>366</v>
      </c>
      <c r="C14" s="163">
        <v>1649520</v>
      </c>
    </row>
    <row r="15" spans="1:3" s="218" customFormat="1" ht="12" customHeight="1">
      <c r="A15" s="267" t="s">
        <v>122</v>
      </c>
      <c r="B15" s="6" t="s">
        <v>367</v>
      </c>
      <c r="C15" s="163">
        <v>4192000</v>
      </c>
    </row>
    <row r="16" spans="1:3" s="218" customFormat="1" ht="12" customHeight="1">
      <c r="A16" s="267" t="s">
        <v>132</v>
      </c>
      <c r="B16" s="7" t="s">
        <v>248</v>
      </c>
      <c r="C16" s="208">
        <v>10000</v>
      </c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11960854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275630544</v>
      </c>
    </row>
    <row r="38" spans="1:3" s="218" customFormat="1" ht="12" customHeight="1">
      <c r="A38" s="268" t="s">
        <v>376</v>
      </c>
      <c r="B38" s="269" t="s">
        <v>200</v>
      </c>
      <c r="C38" s="53">
        <v>291569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275320023+18952</f>
        <v>275338975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287591398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286311323</v>
      </c>
    </row>
    <row r="46" spans="1:3" ht="12" customHeight="1">
      <c r="A46" s="267" t="s">
        <v>117</v>
      </c>
      <c r="B46" s="8" t="s">
        <v>72</v>
      </c>
      <c r="C46" s="53">
        <f>175696049+14952</f>
        <v>175711001</v>
      </c>
    </row>
    <row r="47" spans="1:3" ht="12" customHeight="1">
      <c r="A47" s="267" t="s">
        <v>118</v>
      </c>
      <c r="B47" s="7" t="s">
        <v>171</v>
      </c>
      <c r="C47" s="55">
        <f>41986053+4000</f>
        <v>41990053</v>
      </c>
    </row>
    <row r="48" spans="1:3" ht="12" customHeight="1">
      <c r="A48" s="267" t="s">
        <v>119</v>
      </c>
      <c r="B48" s="7" t="s">
        <v>146</v>
      </c>
      <c r="C48" s="55">
        <v>68610269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1280075</v>
      </c>
    </row>
    <row r="52" spans="1:3" s="276" customFormat="1" ht="12" customHeight="1">
      <c r="A52" s="267" t="s">
        <v>123</v>
      </c>
      <c r="B52" s="8" t="s">
        <v>191</v>
      </c>
      <c r="C52" s="527">
        <v>1280075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287591398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85">
        <v>54</v>
      </c>
    </row>
    <row r="60" spans="1:3" ht="13.5" thickBot="1">
      <c r="A60" s="131" t="s">
        <v>187</v>
      </c>
      <c r="B60" s="13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11/2017.(III.30.)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 melléklet a ……/",LEFT(#REF!,4),". (….) önkormányzati rendelethez")</f>
        <v>#REF!</v>
      </c>
    </row>
    <row r="2" spans="1:3" s="272" customFormat="1" ht="36" customHeight="1">
      <c r="A2" s="229" t="s">
        <v>185</v>
      </c>
      <c r="B2" s="202" t="s">
        <v>664</v>
      </c>
      <c r="C2" s="216" t="s">
        <v>84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15645250</v>
      </c>
    </row>
    <row r="9" spans="1:3" s="218" customFormat="1" ht="12" customHeight="1">
      <c r="A9" s="266" t="s">
        <v>117</v>
      </c>
      <c r="B9" s="9" t="s">
        <v>241</v>
      </c>
      <c r="C9" s="207">
        <v>150000</v>
      </c>
    </row>
    <row r="10" spans="1:3" s="218" customFormat="1" ht="12" customHeight="1">
      <c r="A10" s="267" t="s">
        <v>118</v>
      </c>
      <c r="B10" s="7" t="s">
        <v>242</v>
      </c>
      <c r="C10" s="163">
        <v>10400000</v>
      </c>
    </row>
    <row r="11" spans="1:3" s="218" customFormat="1" ht="12" customHeight="1">
      <c r="A11" s="267" t="s">
        <v>119</v>
      </c>
      <c r="B11" s="7" t="s">
        <v>243</v>
      </c>
      <c r="C11" s="163">
        <v>900000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v>1661250</v>
      </c>
    </row>
    <row r="15" spans="1:3" s="218" customFormat="1" ht="12" customHeight="1">
      <c r="A15" s="267" t="s">
        <v>122</v>
      </c>
      <c r="B15" s="6" t="s">
        <v>367</v>
      </c>
      <c r="C15" s="163">
        <v>2534000</v>
      </c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507"/>
    </row>
    <row r="24" spans="1:3" s="275" customFormat="1" ht="12" customHeight="1" thickBot="1">
      <c r="A24" s="267" t="s">
        <v>126</v>
      </c>
      <c r="B24" s="7" t="s">
        <v>604</v>
      </c>
      <c r="C24" s="507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508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15645250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79926310</v>
      </c>
    </row>
    <row r="38" spans="1:3" s="218" customFormat="1" ht="12" customHeight="1">
      <c r="A38" s="268" t="s">
        <v>376</v>
      </c>
      <c r="B38" s="269" t="s">
        <v>200</v>
      </c>
      <c r="C38" s="53">
        <v>178326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78947681+800303</f>
        <v>79747984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95571560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92925906</v>
      </c>
    </row>
    <row r="46" spans="1:3" ht="12" customHeight="1">
      <c r="A46" s="267" t="s">
        <v>117</v>
      </c>
      <c r="B46" s="8" t="s">
        <v>72</v>
      </c>
      <c r="C46" s="53">
        <f>41027225+658050</f>
        <v>41685275</v>
      </c>
    </row>
    <row r="47" spans="1:3" ht="12" customHeight="1">
      <c r="A47" s="267" t="s">
        <v>118</v>
      </c>
      <c r="B47" s="7" t="s">
        <v>171</v>
      </c>
      <c r="C47" s="55">
        <f>9482677+142253</f>
        <v>9624930</v>
      </c>
    </row>
    <row r="48" spans="1:3" ht="12" customHeight="1">
      <c r="A48" s="267" t="s">
        <v>119</v>
      </c>
      <c r="B48" s="7" t="s">
        <v>146</v>
      </c>
      <c r="C48" s="55">
        <v>41615701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2645654</v>
      </c>
    </row>
    <row r="52" spans="1:3" s="276" customFormat="1" ht="12" customHeight="1">
      <c r="A52" s="267" t="s">
        <v>123</v>
      </c>
      <c r="B52" s="8" t="s">
        <v>191</v>
      </c>
      <c r="C52" s="527">
        <v>2645654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95571560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481">
        <v>17.75</v>
      </c>
    </row>
    <row r="60" spans="1:3" ht="13.5" thickBot="1">
      <c r="A60" s="131" t="s">
        <v>187</v>
      </c>
      <c r="B60" s="13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11/2017.(III.30.)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9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+CONCATENATE("9.3.1. melléklet a ……/",LEFT(#REF!,4),". (….) önkormányzati rendelethez")</f>
        <v>#REF!</v>
      </c>
    </row>
    <row r="2" spans="1:3" s="272" customFormat="1" ht="33" customHeight="1">
      <c r="A2" s="229" t="s">
        <v>185</v>
      </c>
      <c r="B2" s="202" t="s">
        <v>664</v>
      </c>
      <c r="C2" s="216" t="s">
        <v>84</v>
      </c>
    </row>
    <row r="3" spans="1:3" s="272" customFormat="1" ht="24.75" thickBot="1">
      <c r="A3" s="265" t="s">
        <v>184</v>
      </c>
      <c r="B3" s="203" t="s">
        <v>383</v>
      </c>
      <c r="C3" s="217" t="s">
        <v>83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15645250</v>
      </c>
    </row>
    <row r="9" spans="1:3" s="218" customFormat="1" ht="12" customHeight="1">
      <c r="A9" s="266" t="s">
        <v>117</v>
      </c>
      <c r="B9" s="9" t="s">
        <v>241</v>
      </c>
      <c r="C9" s="207">
        <v>150000</v>
      </c>
    </row>
    <row r="10" spans="1:3" s="218" customFormat="1" ht="12" customHeight="1">
      <c r="A10" s="267" t="s">
        <v>118</v>
      </c>
      <c r="B10" s="7" t="s">
        <v>242</v>
      </c>
      <c r="C10" s="163">
        <v>10400000</v>
      </c>
    </row>
    <row r="11" spans="1:3" s="218" customFormat="1" ht="12" customHeight="1">
      <c r="A11" s="267" t="s">
        <v>119</v>
      </c>
      <c r="B11" s="7" t="s">
        <v>243</v>
      </c>
      <c r="C11" s="163">
        <v>900000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v>1661250</v>
      </c>
    </row>
    <row r="15" spans="1:3" s="218" customFormat="1" ht="12" customHeight="1">
      <c r="A15" s="267" t="s">
        <v>122</v>
      </c>
      <c r="B15" s="6" t="s">
        <v>367</v>
      </c>
      <c r="C15" s="163">
        <v>2534000</v>
      </c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508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15645250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79926310</v>
      </c>
    </row>
    <row r="38" spans="1:3" s="218" customFormat="1" ht="12" customHeight="1">
      <c r="A38" s="268" t="s">
        <v>376</v>
      </c>
      <c r="B38" s="269" t="s">
        <v>200</v>
      </c>
      <c r="C38" s="53">
        <v>178326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78947681+800303</f>
        <v>79747984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95571560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92925906</v>
      </c>
    </row>
    <row r="46" spans="1:3" ht="12" customHeight="1">
      <c r="A46" s="267" t="s">
        <v>117</v>
      </c>
      <c r="B46" s="8" t="s">
        <v>72</v>
      </c>
      <c r="C46" s="53">
        <f>41027225+658050</f>
        <v>41685275</v>
      </c>
    </row>
    <row r="47" spans="1:3" ht="12" customHeight="1">
      <c r="A47" s="267" t="s">
        <v>118</v>
      </c>
      <c r="B47" s="7" t="s">
        <v>171</v>
      </c>
      <c r="C47" s="55">
        <f>9482677+142253</f>
        <v>9624930</v>
      </c>
    </row>
    <row r="48" spans="1:3" ht="12" customHeight="1">
      <c r="A48" s="267" t="s">
        <v>119</v>
      </c>
      <c r="B48" s="7" t="s">
        <v>146</v>
      </c>
      <c r="C48" s="55">
        <v>41615701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2645654</v>
      </c>
    </row>
    <row r="52" spans="1:3" s="276" customFormat="1" ht="12" customHeight="1">
      <c r="A52" s="267" t="s">
        <v>123</v>
      </c>
      <c r="B52" s="8" t="s">
        <v>191</v>
      </c>
      <c r="C52" s="527">
        <v>2645654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95571560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512">
        <v>17.75</v>
      </c>
    </row>
    <row r="60" spans="1:3" ht="13.5" thickBot="1">
      <c r="A60" s="131" t="s">
        <v>187</v>
      </c>
      <c r="B60" s="13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11/2017.(III.30.)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 melléklet a ……/",LEFT(#REF!,4),". (….) önkormányzati rendelethez")</f>
        <v>#REF!</v>
      </c>
    </row>
    <row r="2" spans="1:3" s="272" customFormat="1" ht="36" customHeight="1">
      <c r="A2" s="229" t="s">
        <v>185</v>
      </c>
      <c r="B2" s="202" t="s">
        <v>608</v>
      </c>
      <c r="C2" s="216" t="s">
        <v>84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160784210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31214302</v>
      </c>
    </row>
    <row r="11" spans="1:3" s="218" customFormat="1" ht="12" customHeight="1">
      <c r="A11" s="267" t="s">
        <v>119</v>
      </c>
      <c r="B11" s="7" t="s">
        <v>243</v>
      </c>
      <c r="C11" s="163">
        <v>70218340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20539068</v>
      </c>
    </row>
    <row r="14" spans="1:3" s="218" customFormat="1" ht="12" customHeight="1">
      <c r="A14" s="267" t="s">
        <v>121</v>
      </c>
      <c r="B14" s="7" t="s">
        <v>366</v>
      </c>
      <c r="C14" s="163">
        <v>24504500</v>
      </c>
    </row>
    <row r="15" spans="1:3" s="218" customFormat="1" ht="12" customHeight="1">
      <c r="A15" s="267" t="s">
        <v>122</v>
      </c>
      <c r="B15" s="6" t="s">
        <v>367</v>
      </c>
      <c r="C15" s="163">
        <v>14308000</v>
      </c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160784210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204651278</v>
      </c>
    </row>
    <row r="38" spans="1:3" s="218" customFormat="1" ht="12" customHeight="1">
      <c r="A38" s="268" t="s">
        <v>376</v>
      </c>
      <c r="B38" s="269" t="s">
        <v>200</v>
      </c>
      <c r="C38" s="53">
        <v>2265992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202169674+215612</f>
        <v>202385286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365435488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363793797</v>
      </c>
    </row>
    <row r="46" spans="1:3" ht="12" customHeight="1">
      <c r="A46" s="267" t="s">
        <v>117</v>
      </c>
      <c r="B46" s="8" t="s">
        <v>72</v>
      </c>
      <c r="C46" s="53">
        <f>81034160+181808+112360</f>
        <v>81328328</v>
      </c>
    </row>
    <row r="47" spans="1:3" ht="12" customHeight="1">
      <c r="A47" s="267" t="s">
        <v>118</v>
      </c>
      <c r="B47" s="7" t="s">
        <v>171</v>
      </c>
      <c r="C47" s="55">
        <f>20018301+33804+22247</f>
        <v>20074352</v>
      </c>
    </row>
    <row r="48" spans="1:3" ht="12" customHeight="1">
      <c r="A48" s="267" t="s">
        <v>119</v>
      </c>
      <c r="B48" s="7" t="s">
        <v>146</v>
      </c>
      <c r="C48" s="55">
        <v>262391117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1641691</v>
      </c>
    </row>
    <row r="52" spans="1:3" s="276" customFormat="1" ht="12" customHeight="1">
      <c r="A52" s="267" t="s">
        <v>123</v>
      </c>
      <c r="B52" s="8" t="s">
        <v>191</v>
      </c>
      <c r="C52" s="53">
        <v>1276298</v>
      </c>
    </row>
    <row r="53" spans="1:3" ht="12" customHeight="1">
      <c r="A53" s="267" t="s">
        <v>124</v>
      </c>
      <c r="B53" s="7" t="s">
        <v>175</v>
      </c>
      <c r="C53" s="55">
        <f>500000-134607</f>
        <v>365393</v>
      </c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365435488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85">
        <v>40</v>
      </c>
    </row>
    <row r="60" spans="1:3" ht="13.5" thickBot="1">
      <c r="A60" s="131" t="s">
        <v>187</v>
      </c>
      <c r="B60" s="13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11/2017.(III.30.)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99">
      <selection activeCell="D99" sqref="D1:F16384"/>
    </sheetView>
  </sheetViews>
  <sheetFormatPr defaultColWidth="9.00390625" defaultRowHeight="12.75"/>
  <cols>
    <col min="1" max="1" width="9.50390625" style="225" customWidth="1"/>
    <col min="2" max="2" width="79.00390625" style="225" customWidth="1"/>
    <col min="3" max="3" width="21.625" style="226" customWidth="1"/>
    <col min="4" max="4" width="19.375" style="236" hidden="1" customWidth="1"/>
    <col min="5" max="5" width="15.875" style="236" hidden="1" customWidth="1"/>
    <col min="6" max="6" width="15.375" style="236" hidden="1" customWidth="1"/>
    <col min="7" max="16384" width="9.375" style="236" customWidth="1"/>
  </cols>
  <sheetData>
    <row r="1" spans="1:3" ht="15.75" customHeight="1">
      <c r="A1" s="735" t="s">
        <v>38</v>
      </c>
      <c r="B1" s="735"/>
      <c r="C1" s="735"/>
    </row>
    <row r="2" spans="1:3" ht="15.75" customHeight="1" thickBot="1">
      <c r="A2" s="734" t="s">
        <v>150</v>
      </c>
      <c r="B2" s="734"/>
      <c r="C2" s="158" t="s">
        <v>667</v>
      </c>
    </row>
    <row r="3" spans="1:6" ht="37.5" customHeight="1" thickBot="1">
      <c r="A3" s="22" t="s">
        <v>92</v>
      </c>
      <c r="B3" s="23" t="s">
        <v>40</v>
      </c>
      <c r="C3" s="36" t="s">
        <v>652</v>
      </c>
      <c r="D3" s="225" t="s">
        <v>694</v>
      </c>
      <c r="E3" s="225" t="s">
        <v>695</v>
      </c>
      <c r="F3" s="225" t="s">
        <v>696</v>
      </c>
    </row>
    <row r="4" spans="1:3" s="237" customFormat="1" ht="12" customHeight="1" thickBot="1">
      <c r="A4" s="231" t="s">
        <v>512</v>
      </c>
      <c r="B4" s="232" t="s">
        <v>513</v>
      </c>
      <c r="C4" s="233" t="s">
        <v>514</v>
      </c>
    </row>
    <row r="5" spans="1:6" s="238" customFormat="1" ht="12" customHeight="1" thickBot="1">
      <c r="A5" s="19" t="s">
        <v>41</v>
      </c>
      <c r="B5" s="20" t="s">
        <v>212</v>
      </c>
      <c r="C5" s="154">
        <f aca="true" t="shared" si="0" ref="C5:C68">SUM(D5:F5)</f>
        <v>1031461139</v>
      </c>
      <c r="D5" s="549">
        <f>+D6+D7+D8+D9+D10+D11</f>
        <v>1031461139</v>
      </c>
      <c r="E5" s="149">
        <f>+E6+E7+E8+E9+E10+E11</f>
        <v>0</v>
      </c>
      <c r="F5" s="149">
        <f>+F6+F7+F8+F9+F10+F11</f>
        <v>0</v>
      </c>
    </row>
    <row r="6" spans="1:6" s="238" customFormat="1" ht="12" customHeight="1">
      <c r="A6" s="14" t="s">
        <v>117</v>
      </c>
      <c r="B6" s="239" t="s">
        <v>213</v>
      </c>
      <c r="C6" s="697">
        <f t="shared" si="0"/>
        <v>228418282</v>
      </c>
      <c r="D6" s="560">
        <f>227512539+905743</f>
        <v>228418282</v>
      </c>
      <c r="E6" s="277"/>
      <c r="F6" s="277"/>
    </row>
    <row r="7" spans="1:6" s="238" customFormat="1" ht="12" customHeight="1">
      <c r="A7" s="13" t="s">
        <v>118</v>
      </c>
      <c r="B7" s="240" t="s">
        <v>214</v>
      </c>
      <c r="C7" s="698">
        <f t="shared" si="0"/>
        <v>218107294</v>
      </c>
      <c r="D7" s="488">
        <f>218107294</f>
        <v>218107294</v>
      </c>
      <c r="E7" s="153"/>
      <c r="F7" s="153"/>
    </row>
    <row r="8" spans="1:6" s="238" customFormat="1" ht="12" customHeight="1">
      <c r="A8" s="13" t="s">
        <v>119</v>
      </c>
      <c r="B8" s="240" t="s">
        <v>637</v>
      </c>
      <c r="C8" s="698">
        <f t="shared" si="0"/>
        <v>371167705</v>
      </c>
      <c r="D8" s="488">
        <f>121200000+67844165+177597260+4526280+11511000+24250000-35761000</f>
        <v>371167705</v>
      </c>
      <c r="E8" s="153"/>
      <c r="F8" s="153"/>
    </row>
    <row r="9" spans="1:6" s="238" customFormat="1" ht="12" customHeight="1">
      <c r="A9" s="13" t="s">
        <v>120</v>
      </c>
      <c r="B9" s="240" t="s">
        <v>216</v>
      </c>
      <c r="C9" s="698">
        <f t="shared" si="0"/>
        <v>25891320</v>
      </c>
      <c r="D9" s="488">
        <f>4412740+15262320+10629000-4412740</f>
        <v>25891320</v>
      </c>
      <c r="E9" s="153"/>
      <c r="F9" s="153"/>
    </row>
    <row r="10" spans="1:6" s="238" customFormat="1" ht="12" customHeight="1">
      <c r="A10" s="13" t="s">
        <v>147</v>
      </c>
      <c r="B10" s="145" t="s">
        <v>515</v>
      </c>
      <c r="C10" s="698">
        <f t="shared" si="0"/>
        <v>187876538</v>
      </c>
      <c r="D10" s="488">
        <f>1060845+3551000+168707597+128000+58000+13957152+413944</f>
        <v>187876538</v>
      </c>
      <c r="E10" s="153"/>
      <c r="F10" s="153"/>
    </row>
    <row r="11" spans="1:6" s="238" customFormat="1" ht="12" customHeight="1" thickBot="1">
      <c r="A11" s="15" t="s">
        <v>121</v>
      </c>
      <c r="B11" s="146" t="s">
        <v>516</v>
      </c>
      <c r="C11" s="699">
        <f t="shared" si="0"/>
        <v>0</v>
      </c>
      <c r="D11" s="135"/>
      <c r="E11" s="150"/>
      <c r="F11" s="150"/>
    </row>
    <row r="12" spans="1:6" s="238" customFormat="1" ht="12" customHeight="1" thickBot="1">
      <c r="A12" s="19" t="s">
        <v>42</v>
      </c>
      <c r="B12" s="144" t="s">
        <v>217</v>
      </c>
      <c r="C12" s="154">
        <f t="shared" si="0"/>
        <v>391704588</v>
      </c>
      <c r="D12" s="549">
        <f>+D13+D14+D15+D16+D17</f>
        <v>391704588</v>
      </c>
      <c r="E12" s="149">
        <f>+E13+E14+E15+E16+E17</f>
        <v>0</v>
      </c>
      <c r="F12" s="149">
        <f>+F13+F14+F15+F16+F17</f>
        <v>0</v>
      </c>
    </row>
    <row r="13" spans="1:6" s="238" customFormat="1" ht="12" customHeight="1">
      <c r="A13" s="14" t="s">
        <v>123</v>
      </c>
      <c r="B13" s="239" t="s">
        <v>218</v>
      </c>
      <c r="C13" s="697">
        <f t="shared" si="0"/>
        <v>0</v>
      </c>
      <c r="D13" s="552"/>
      <c r="E13" s="151"/>
      <c r="F13" s="151"/>
    </row>
    <row r="14" spans="1:6" s="238" customFormat="1" ht="12" customHeight="1">
      <c r="A14" s="13" t="s">
        <v>124</v>
      </c>
      <c r="B14" s="240" t="s">
        <v>219</v>
      </c>
      <c r="C14" s="698">
        <f t="shared" si="0"/>
        <v>0</v>
      </c>
      <c r="D14" s="135"/>
      <c r="E14" s="150"/>
      <c r="F14" s="150"/>
    </row>
    <row r="15" spans="1:6" s="238" customFormat="1" ht="12" customHeight="1">
      <c r="A15" s="13" t="s">
        <v>125</v>
      </c>
      <c r="B15" s="240" t="s">
        <v>388</v>
      </c>
      <c r="C15" s="698">
        <f t="shared" si="0"/>
        <v>0</v>
      </c>
      <c r="D15" s="135"/>
      <c r="E15" s="150"/>
      <c r="F15" s="150"/>
    </row>
    <row r="16" spans="1:6" s="238" customFormat="1" ht="12" customHeight="1">
      <c r="A16" s="13" t="s">
        <v>126</v>
      </c>
      <c r="B16" s="240" t="s">
        <v>389</v>
      </c>
      <c r="C16" s="698">
        <f t="shared" si="0"/>
        <v>0</v>
      </c>
      <c r="D16" s="135"/>
      <c r="E16" s="150"/>
      <c r="F16" s="150"/>
    </row>
    <row r="17" spans="1:6" s="238" customFormat="1" ht="12" customHeight="1">
      <c r="A17" s="13" t="s">
        <v>127</v>
      </c>
      <c r="B17" s="240" t="s">
        <v>220</v>
      </c>
      <c r="C17" s="698">
        <f t="shared" si="0"/>
        <v>391704588</v>
      </c>
      <c r="D17" s="488">
        <f>210000+65342000+25310845+9303887+291175856+362000</f>
        <v>391704588</v>
      </c>
      <c r="E17" s="492"/>
      <c r="F17" s="153"/>
    </row>
    <row r="18" spans="1:6" s="238" customFormat="1" ht="12" customHeight="1" thickBot="1">
      <c r="A18" s="15" t="s">
        <v>136</v>
      </c>
      <c r="B18" s="146" t="s">
        <v>221</v>
      </c>
      <c r="C18" s="699">
        <f t="shared" si="0"/>
        <v>0</v>
      </c>
      <c r="D18" s="136"/>
      <c r="E18" s="228"/>
      <c r="F18" s="228"/>
    </row>
    <row r="19" spans="1:6" s="238" customFormat="1" ht="12" customHeight="1" thickBot="1">
      <c r="A19" s="19" t="s">
        <v>43</v>
      </c>
      <c r="B19" s="20" t="s">
        <v>222</v>
      </c>
      <c r="C19" s="154">
        <f t="shared" si="0"/>
        <v>18976576</v>
      </c>
      <c r="D19" s="549">
        <f>+D20+D21+D22+D23+D24</f>
        <v>18976576</v>
      </c>
      <c r="E19" s="149">
        <f>+E20+E21+E22+E23+E24</f>
        <v>0</v>
      </c>
      <c r="F19" s="149">
        <f>+F20+F21+F22+F23+F24</f>
        <v>0</v>
      </c>
    </row>
    <row r="20" spans="1:6" s="238" customFormat="1" ht="12" customHeight="1">
      <c r="A20" s="14" t="s">
        <v>106</v>
      </c>
      <c r="B20" s="239" t="s">
        <v>223</v>
      </c>
      <c r="C20" s="697">
        <f t="shared" si="0"/>
        <v>0</v>
      </c>
      <c r="D20" s="639"/>
      <c r="E20" s="486"/>
      <c r="F20" s="486"/>
    </row>
    <row r="21" spans="1:6" s="238" customFormat="1" ht="12" customHeight="1">
      <c r="A21" s="13" t="s">
        <v>107</v>
      </c>
      <c r="B21" s="240" t="s">
        <v>224</v>
      </c>
      <c r="C21" s="698">
        <f t="shared" si="0"/>
        <v>0</v>
      </c>
      <c r="D21" s="488"/>
      <c r="E21" s="153"/>
      <c r="F21" s="153"/>
    </row>
    <row r="22" spans="1:6" s="238" customFormat="1" ht="12" customHeight="1">
      <c r="A22" s="13" t="s">
        <v>108</v>
      </c>
      <c r="B22" s="240" t="s">
        <v>390</v>
      </c>
      <c r="C22" s="698">
        <f t="shared" si="0"/>
        <v>0</v>
      </c>
      <c r="D22" s="488"/>
      <c r="E22" s="153"/>
      <c r="F22" s="153"/>
    </row>
    <row r="23" spans="1:6" s="238" customFormat="1" ht="12" customHeight="1">
      <c r="A23" s="13" t="s">
        <v>109</v>
      </c>
      <c r="B23" s="240" t="s">
        <v>391</v>
      </c>
      <c r="C23" s="698">
        <f t="shared" si="0"/>
        <v>0</v>
      </c>
      <c r="D23" s="488"/>
      <c r="E23" s="153"/>
      <c r="F23" s="153"/>
    </row>
    <row r="24" spans="1:6" s="238" customFormat="1" ht="12" customHeight="1">
      <c r="A24" s="13" t="s">
        <v>159</v>
      </c>
      <c r="B24" s="240" t="s">
        <v>225</v>
      </c>
      <c r="C24" s="698">
        <f t="shared" si="0"/>
        <v>18976576</v>
      </c>
      <c r="D24" s="488">
        <f>3797300+15179276</f>
        <v>18976576</v>
      </c>
      <c r="E24" s="153"/>
      <c r="F24" s="153"/>
    </row>
    <row r="25" spans="1:6" s="238" customFormat="1" ht="12" customHeight="1" thickBot="1">
      <c r="A25" s="15" t="s">
        <v>160</v>
      </c>
      <c r="B25" s="241" t="s">
        <v>226</v>
      </c>
      <c r="C25" s="699">
        <f t="shared" si="0"/>
        <v>3797300</v>
      </c>
      <c r="D25" s="499">
        <v>3797300</v>
      </c>
      <c r="E25" s="228"/>
      <c r="F25" s="152"/>
    </row>
    <row r="26" spans="1:6" s="238" customFormat="1" ht="12" customHeight="1" thickBot="1">
      <c r="A26" s="19" t="s">
        <v>161</v>
      </c>
      <c r="B26" s="20" t="s">
        <v>227</v>
      </c>
      <c r="C26" s="154">
        <f t="shared" si="0"/>
        <v>319390000</v>
      </c>
      <c r="D26" s="556">
        <f>+D27+D31+D32+D33</f>
        <v>319390000</v>
      </c>
      <c r="E26" s="154">
        <f>+E27+E31+E32+E33</f>
        <v>0</v>
      </c>
      <c r="F26" s="154">
        <f>+F27+F31+F32+F33</f>
        <v>0</v>
      </c>
    </row>
    <row r="27" spans="1:6" s="238" customFormat="1" ht="12" customHeight="1">
      <c r="A27" s="14" t="s">
        <v>228</v>
      </c>
      <c r="B27" s="239" t="s">
        <v>517</v>
      </c>
      <c r="C27" s="697">
        <f t="shared" si="0"/>
        <v>282830000</v>
      </c>
      <c r="D27" s="640">
        <f>SUM(D28:D30)</f>
        <v>282830000</v>
      </c>
      <c r="E27" s="234"/>
      <c r="F27" s="234"/>
    </row>
    <row r="28" spans="1:6" s="238" customFormat="1" ht="12" customHeight="1">
      <c r="A28" s="13" t="s">
        <v>229</v>
      </c>
      <c r="B28" s="240" t="s">
        <v>234</v>
      </c>
      <c r="C28" s="698">
        <f t="shared" si="0"/>
        <v>78990000</v>
      </c>
      <c r="D28" s="135">
        <f>8990000+70000000</f>
        <v>78990000</v>
      </c>
      <c r="E28" s="150"/>
      <c r="F28" s="150"/>
    </row>
    <row r="29" spans="1:6" s="238" customFormat="1" ht="12" customHeight="1">
      <c r="A29" s="13" t="s">
        <v>230</v>
      </c>
      <c r="B29" s="240" t="s">
        <v>619</v>
      </c>
      <c r="C29" s="698">
        <f t="shared" si="0"/>
        <v>203840000</v>
      </c>
      <c r="D29" s="135">
        <v>203840000</v>
      </c>
      <c r="E29" s="150"/>
      <c r="F29" s="150"/>
    </row>
    <row r="30" spans="1:6" s="238" customFormat="1" ht="12" customHeight="1">
      <c r="A30" s="13" t="s">
        <v>518</v>
      </c>
      <c r="B30" s="240" t="s">
        <v>616</v>
      </c>
      <c r="C30" s="698">
        <f t="shared" si="0"/>
        <v>0</v>
      </c>
      <c r="D30" s="488"/>
      <c r="E30" s="153"/>
      <c r="F30" s="153"/>
    </row>
    <row r="31" spans="1:6" s="238" customFormat="1" ht="12" customHeight="1">
      <c r="A31" s="13" t="s">
        <v>231</v>
      </c>
      <c r="B31" s="240" t="s">
        <v>236</v>
      </c>
      <c r="C31" s="698">
        <f t="shared" si="0"/>
        <v>27000000</v>
      </c>
      <c r="D31" s="135">
        <f>27000000</f>
        <v>27000000</v>
      </c>
      <c r="E31" s="150"/>
      <c r="F31" s="153"/>
    </row>
    <row r="32" spans="1:6" s="238" customFormat="1" ht="12" customHeight="1">
      <c r="A32" s="13" t="s">
        <v>232</v>
      </c>
      <c r="B32" s="240" t="s">
        <v>237</v>
      </c>
      <c r="C32" s="698">
        <f t="shared" si="0"/>
        <v>60000</v>
      </c>
      <c r="D32" s="135">
        <f>4060000-4000000</f>
        <v>60000</v>
      </c>
      <c r="E32" s="150"/>
      <c r="F32" s="153"/>
    </row>
    <row r="33" spans="1:6" s="238" customFormat="1" ht="12" customHeight="1" thickBot="1">
      <c r="A33" s="15" t="s">
        <v>233</v>
      </c>
      <c r="B33" s="241" t="s">
        <v>238</v>
      </c>
      <c r="C33" s="699">
        <f t="shared" si="0"/>
        <v>9500000</v>
      </c>
      <c r="D33" s="499">
        <f>5500000+4000000</f>
        <v>9500000</v>
      </c>
      <c r="E33" s="228"/>
      <c r="F33" s="228"/>
    </row>
    <row r="34" spans="1:6" s="238" customFormat="1" ht="12" customHeight="1" thickBot="1">
      <c r="A34" s="19" t="s">
        <v>45</v>
      </c>
      <c r="B34" s="20" t="s">
        <v>520</v>
      </c>
      <c r="C34" s="154">
        <f t="shared" si="0"/>
        <v>223946276</v>
      </c>
      <c r="D34" s="549">
        <f>SUM(D35:D45)</f>
        <v>43566000</v>
      </c>
      <c r="E34" s="149">
        <f>SUM(E35:E45)</f>
        <v>2748500</v>
      </c>
      <c r="F34" s="149">
        <f>SUM(F35:F45)</f>
        <v>177631776</v>
      </c>
    </row>
    <row r="35" spans="1:6" s="238" customFormat="1" ht="12" customHeight="1">
      <c r="A35" s="14" t="s">
        <v>110</v>
      </c>
      <c r="B35" s="239" t="s">
        <v>241</v>
      </c>
      <c r="C35" s="697">
        <f t="shared" si="0"/>
        <v>9150000</v>
      </c>
      <c r="D35" s="560">
        <f>4000000+5000000</f>
        <v>9000000</v>
      </c>
      <c r="E35" s="277"/>
      <c r="F35" s="277">
        <v>150000</v>
      </c>
    </row>
    <row r="36" spans="1:6" s="238" customFormat="1" ht="12" customHeight="1">
      <c r="A36" s="13" t="s">
        <v>111</v>
      </c>
      <c r="B36" s="240" t="s">
        <v>242</v>
      </c>
      <c r="C36" s="698">
        <f t="shared" si="0"/>
        <v>42613906</v>
      </c>
      <c r="D36" s="488">
        <f>100000+12004000</f>
        <v>12104000</v>
      </c>
      <c r="E36" s="153">
        <v>2164000</v>
      </c>
      <c r="F36" s="277">
        <v>28345906</v>
      </c>
    </row>
    <row r="37" spans="1:6" s="238" customFormat="1" ht="12" customHeight="1">
      <c r="A37" s="13" t="s">
        <v>112</v>
      </c>
      <c r="B37" s="240" t="s">
        <v>243</v>
      </c>
      <c r="C37" s="698">
        <f t="shared" si="0"/>
        <v>84598340</v>
      </c>
      <c r="D37" s="488">
        <f>8458000+947000</f>
        <v>9405000</v>
      </c>
      <c r="E37" s="153"/>
      <c r="F37" s="277">
        <v>75193340</v>
      </c>
    </row>
    <row r="38" spans="1:6" s="238" customFormat="1" ht="12" customHeight="1">
      <c r="A38" s="13" t="s">
        <v>163</v>
      </c>
      <c r="B38" s="240" t="s">
        <v>244</v>
      </c>
      <c r="C38" s="698">
        <f t="shared" si="0"/>
        <v>430000</v>
      </c>
      <c r="D38" s="488">
        <f>430000</f>
        <v>430000</v>
      </c>
      <c r="E38" s="153"/>
      <c r="F38" s="277"/>
    </row>
    <row r="39" spans="1:6" s="238" customFormat="1" ht="12" customHeight="1">
      <c r="A39" s="13" t="s">
        <v>164</v>
      </c>
      <c r="B39" s="240" t="s">
        <v>245</v>
      </c>
      <c r="C39" s="698">
        <f t="shared" si="0"/>
        <v>23819682</v>
      </c>
      <c r="D39" s="488"/>
      <c r="E39" s="153"/>
      <c r="F39" s="277">
        <v>23819682</v>
      </c>
    </row>
    <row r="40" spans="1:6" s="238" customFormat="1" ht="12" customHeight="1">
      <c r="A40" s="13" t="s">
        <v>165</v>
      </c>
      <c r="B40" s="240" t="s">
        <v>246</v>
      </c>
      <c r="C40" s="698">
        <f t="shared" si="0"/>
        <v>41086348</v>
      </c>
      <c r="D40" s="488">
        <f>3242000+5853000+378000+600000+1350000</f>
        <v>11423000</v>
      </c>
      <c r="E40" s="153">
        <v>584500</v>
      </c>
      <c r="F40" s="277">
        <v>29078848</v>
      </c>
    </row>
    <row r="41" spans="1:6" s="238" customFormat="1" ht="12" customHeight="1">
      <c r="A41" s="13" t="s">
        <v>166</v>
      </c>
      <c r="B41" s="240" t="s">
        <v>247</v>
      </c>
      <c r="C41" s="698">
        <f t="shared" si="0"/>
        <v>21034000</v>
      </c>
      <c r="D41" s="488"/>
      <c r="E41" s="153"/>
      <c r="F41" s="277">
        <v>21034000</v>
      </c>
    </row>
    <row r="42" spans="1:6" s="238" customFormat="1" ht="12" customHeight="1">
      <c r="A42" s="13" t="s">
        <v>167</v>
      </c>
      <c r="B42" s="240" t="s">
        <v>638</v>
      </c>
      <c r="C42" s="698">
        <f t="shared" si="0"/>
        <v>10000</v>
      </c>
      <c r="D42" s="488"/>
      <c r="E42" s="153"/>
      <c r="F42" s="277">
        <v>10000</v>
      </c>
    </row>
    <row r="43" spans="1:6" s="238" customFormat="1" ht="12" customHeight="1">
      <c r="A43" s="13" t="s">
        <v>239</v>
      </c>
      <c r="B43" s="240" t="s">
        <v>249</v>
      </c>
      <c r="C43" s="698">
        <f t="shared" si="0"/>
        <v>0</v>
      </c>
      <c r="D43" s="488"/>
      <c r="E43" s="153"/>
      <c r="F43" s="277"/>
    </row>
    <row r="44" spans="1:6" s="238" customFormat="1" ht="12" customHeight="1">
      <c r="A44" s="15" t="s">
        <v>240</v>
      </c>
      <c r="B44" s="241" t="s">
        <v>521</v>
      </c>
      <c r="C44" s="698">
        <f t="shared" si="0"/>
        <v>500000</v>
      </c>
      <c r="D44" s="499">
        <f>500000</f>
        <v>500000</v>
      </c>
      <c r="E44" s="228"/>
      <c r="F44" s="228"/>
    </row>
    <row r="45" spans="1:6" s="238" customFormat="1" ht="12" customHeight="1" thickBot="1">
      <c r="A45" s="15" t="s">
        <v>522</v>
      </c>
      <c r="B45" s="146" t="s">
        <v>250</v>
      </c>
      <c r="C45" s="699">
        <f t="shared" si="0"/>
        <v>704000</v>
      </c>
      <c r="D45" s="499">
        <v>704000</v>
      </c>
      <c r="E45" s="228"/>
      <c r="F45" s="522"/>
    </row>
    <row r="46" spans="1:6" s="238" customFormat="1" ht="12" customHeight="1" thickBot="1">
      <c r="A46" s="19" t="s">
        <v>46</v>
      </c>
      <c r="B46" s="20" t="s">
        <v>251</v>
      </c>
      <c r="C46" s="154">
        <f t="shared" si="0"/>
        <v>25179000</v>
      </c>
      <c r="D46" s="549">
        <f>SUM(D47:D51)</f>
        <v>25179000</v>
      </c>
      <c r="E46" s="149">
        <f>SUM(E47:E51)</f>
        <v>0</v>
      </c>
      <c r="F46" s="149">
        <f>SUM(F47:F51)</f>
        <v>0</v>
      </c>
    </row>
    <row r="47" spans="1:6" s="238" customFormat="1" ht="12" customHeight="1">
      <c r="A47" s="14" t="s">
        <v>113</v>
      </c>
      <c r="B47" s="239" t="s">
        <v>255</v>
      </c>
      <c r="C47" s="697">
        <f t="shared" si="0"/>
        <v>0</v>
      </c>
      <c r="D47" s="560"/>
      <c r="E47" s="277"/>
      <c r="F47" s="277"/>
    </row>
    <row r="48" spans="1:6" s="238" customFormat="1" ht="12" customHeight="1">
      <c r="A48" s="13" t="s">
        <v>114</v>
      </c>
      <c r="B48" s="240" t="s">
        <v>256</v>
      </c>
      <c r="C48" s="698">
        <f t="shared" si="0"/>
        <v>25179000</v>
      </c>
      <c r="D48" s="488">
        <f>25179000</f>
        <v>25179000</v>
      </c>
      <c r="E48" s="153"/>
      <c r="F48" s="153"/>
    </row>
    <row r="49" spans="1:6" s="238" customFormat="1" ht="12" customHeight="1">
      <c r="A49" s="13" t="s">
        <v>252</v>
      </c>
      <c r="B49" s="240" t="s">
        <v>257</v>
      </c>
      <c r="C49" s="698">
        <f t="shared" si="0"/>
        <v>0</v>
      </c>
      <c r="D49" s="488"/>
      <c r="E49" s="153"/>
      <c r="F49" s="153"/>
    </row>
    <row r="50" spans="1:6" s="238" customFormat="1" ht="12" customHeight="1">
      <c r="A50" s="13" t="s">
        <v>253</v>
      </c>
      <c r="B50" s="240" t="s">
        <v>258</v>
      </c>
      <c r="C50" s="698">
        <f t="shared" si="0"/>
        <v>0</v>
      </c>
      <c r="D50" s="488"/>
      <c r="E50" s="153"/>
      <c r="F50" s="153"/>
    </row>
    <row r="51" spans="1:6" s="238" customFormat="1" ht="12" customHeight="1" thickBot="1">
      <c r="A51" s="15" t="s">
        <v>254</v>
      </c>
      <c r="B51" s="146" t="s">
        <v>259</v>
      </c>
      <c r="C51" s="699">
        <f t="shared" si="0"/>
        <v>0</v>
      </c>
      <c r="D51" s="499"/>
      <c r="E51" s="228"/>
      <c r="F51" s="228"/>
    </row>
    <row r="52" spans="1:6" s="238" customFormat="1" ht="12" customHeight="1" thickBot="1">
      <c r="A52" s="19" t="s">
        <v>168</v>
      </c>
      <c r="B52" s="20" t="s">
        <v>260</v>
      </c>
      <c r="C52" s="154">
        <f t="shared" si="0"/>
        <v>4458000</v>
      </c>
      <c r="D52" s="549">
        <f>SUM(D53:D55)</f>
        <v>4458000</v>
      </c>
      <c r="E52" s="149">
        <f>SUM(E53:E55)</f>
        <v>0</v>
      </c>
      <c r="F52" s="149">
        <f>SUM(F53:F55)</f>
        <v>0</v>
      </c>
    </row>
    <row r="53" spans="1:6" s="238" customFormat="1" ht="12" customHeight="1">
      <c r="A53" s="14" t="s">
        <v>115</v>
      </c>
      <c r="B53" s="239" t="s">
        <v>261</v>
      </c>
      <c r="C53" s="697">
        <f t="shared" si="0"/>
        <v>0</v>
      </c>
      <c r="D53" s="552"/>
      <c r="E53" s="151"/>
      <c r="F53" s="151"/>
    </row>
    <row r="54" spans="1:6" s="238" customFormat="1" ht="12" customHeight="1">
      <c r="A54" s="13" t="s">
        <v>116</v>
      </c>
      <c r="B54" s="240" t="s">
        <v>392</v>
      </c>
      <c r="C54" s="698">
        <f t="shared" si="0"/>
        <v>383000</v>
      </c>
      <c r="D54" s="488">
        <v>383000</v>
      </c>
      <c r="E54" s="153"/>
      <c r="F54" s="153"/>
    </row>
    <row r="55" spans="1:6" s="238" customFormat="1" ht="12" customHeight="1">
      <c r="A55" s="13" t="s">
        <v>264</v>
      </c>
      <c r="B55" s="240" t="s">
        <v>262</v>
      </c>
      <c r="C55" s="698">
        <f t="shared" si="0"/>
        <v>4075000</v>
      </c>
      <c r="D55" s="488">
        <v>4075000</v>
      </c>
      <c r="E55" s="153"/>
      <c r="F55" s="153"/>
    </row>
    <row r="56" spans="1:6" s="238" customFormat="1" ht="12" customHeight="1" thickBot="1">
      <c r="A56" s="15" t="s">
        <v>265</v>
      </c>
      <c r="B56" s="146" t="s">
        <v>263</v>
      </c>
      <c r="C56" s="699">
        <f t="shared" si="0"/>
        <v>0</v>
      </c>
      <c r="D56" s="136"/>
      <c r="E56" s="152"/>
      <c r="F56" s="152"/>
    </row>
    <row r="57" spans="1:6" s="238" customFormat="1" ht="12" customHeight="1" thickBot="1">
      <c r="A57" s="19" t="s">
        <v>48</v>
      </c>
      <c r="B57" s="144" t="s">
        <v>266</v>
      </c>
      <c r="C57" s="491">
        <f t="shared" si="0"/>
        <v>0</v>
      </c>
      <c r="D57" s="549">
        <f>SUM(D58:D60)</f>
        <v>0</v>
      </c>
      <c r="E57" s="149">
        <f>SUM(E58:E60)</f>
        <v>0</v>
      </c>
      <c r="F57" s="149">
        <f>SUM(F58:F60)</f>
        <v>0</v>
      </c>
    </row>
    <row r="58" spans="1:6" s="238" customFormat="1" ht="12" customHeight="1">
      <c r="A58" s="14" t="s">
        <v>169</v>
      </c>
      <c r="B58" s="239" t="s">
        <v>268</v>
      </c>
      <c r="C58" s="697">
        <f t="shared" si="0"/>
        <v>0</v>
      </c>
      <c r="D58" s="488"/>
      <c r="E58" s="153"/>
      <c r="F58" s="153"/>
    </row>
    <row r="59" spans="1:6" s="238" customFormat="1" ht="12" customHeight="1">
      <c r="A59" s="13" t="s">
        <v>170</v>
      </c>
      <c r="B59" s="240" t="s">
        <v>393</v>
      </c>
      <c r="C59" s="698">
        <f t="shared" si="0"/>
        <v>0</v>
      </c>
      <c r="D59" s="488"/>
      <c r="E59" s="153"/>
      <c r="F59" s="153"/>
    </row>
    <row r="60" spans="1:6" s="238" customFormat="1" ht="12" customHeight="1">
      <c r="A60" s="13" t="s">
        <v>192</v>
      </c>
      <c r="B60" s="240" t="s">
        <v>269</v>
      </c>
      <c r="C60" s="698">
        <f t="shared" si="0"/>
        <v>0</v>
      </c>
      <c r="D60" s="488"/>
      <c r="E60" s="153"/>
      <c r="F60" s="153"/>
    </row>
    <row r="61" spans="1:6" s="238" customFormat="1" ht="12" customHeight="1" thickBot="1">
      <c r="A61" s="15" t="s">
        <v>267</v>
      </c>
      <c r="B61" s="146" t="s">
        <v>270</v>
      </c>
      <c r="C61" s="699">
        <f t="shared" si="0"/>
        <v>0</v>
      </c>
      <c r="D61" s="488"/>
      <c r="E61" s="153"/>
      <c r="F61" s="153"/>
    </row>
    <row r="62" spans="1:6" s="238" customFormat="1" ht="12" customHeight="1" thickBot="1">
      <c r="A62" s="464" t="s">
        <v>523</v>
      </c>
      <c r="B62" s="20" t="s">
        <v>271</v>
      </c>
      <c r="C62" s="154">
        <f t="shared" si="0"/>
        <v>2015115579</v>
      </c>
      <c r="D62" s="556">
        <f>+D5+D12+D19+D26+D34+D46+D52+D57</f>
        <v>1834735303</v>
      </c>
      <c r="E62" s="154">
        <f>+E5+E12+E19+E26+E34+E46+E52+E57</f>
        <v>2748500</v>
      </c>
      <c r="F62" s="154">
        <f>+F5+F12+F19+F26+F34+F46+F52+F57</f>
        <v>177631776</v>
      </c>
    </row>
    <row r="63" spans="1:6" s="238" customFormat="1" ht="12" customHeight="1" thickBot="1">
      <c r="A63" s="465" t="s">
        <v>272</v>
      </c>
      <c r="B63" s="144" t="s">
        <v>273</v>
      </c>
      <c r="C63" s="491">
        <f t="shared" si="0"/>
        <v>0</v>
      </c>
      <c r="D63" s="549">
        <f>SUM(D64:D66)</f>
        <v>0</v>
      </c>
      <c r="E63" s="149">
        <f>SUM(E64:E66)</f>
        <v>0</v>
      </c>
      <c r="F63" s="149">
        <f>SUM(F64:F66)</f>
        <v>0</v>
      </c>
    </row>
    <row r="64" spans="1:6" s="238" customFormat="1" ht="12" customHeight="1">
      <c r="A64" s="14" t="s">
        <v>304</v>
      </c>
      <c r="B64" s="239" t="s">
        <v>274</v>
      </c>
      <c r="C64" s="697">
        <f t="shared" si="0"/>
        <v>0</v>
      </c>
      <c r="D64" s="488"/>
      <c r="E64" s="153"/>
      <c r="F64" s="153"/>
    </row>
    <row r="65" spans="1:6" s="238" customFormat="1" ht="12" customHeight="1">
      <c r="A65" s="13" t="s">
        <v>313</v>
      </c>
      <c r="B65" s="240" t="s">
        <v>275</v>
      </c>
      <c r="C65" s="698">
        <f t="shared" si="0"/>
        <v>0</v>
      </c>
      <c r="D65" s="488"/>
      <c r="E65" s="153"/>
      <c r="F65" s="153"/>
    </row>
    <row r="66" spans="1:6" s="238" customFormat="1" ht="12" customHeight="1" thickBot="1">
      <c r="A66" s="15" t="s">
        <v>314</v>
      </c>
      <c r="B66" s="466" t="s">
        <v>524</v>
      </c>
      <c r="C66" s="699">
        <f t="shared" si="0"/>
        <v>0</v>
      </c>
      <c r="D66" s="488"/>
      <c r="E66" s="153"/>
      <c r="F66" s="153"/>
    </row>
    <row r="67" spans="1:6" s="238" customFormat="1" ht="12" customHeight="1" thickBot="1">
      <c r="A67" s="465" t="s">
        <v>277</v>
      </c>
      <c r="B67" s="144" t="s">
        <v>278</v>
      </c>
      <c r="C67" s="491">
        <f t="shared" si="0"/>
        <v>0</v>
      </c>
      <c r="D67" s="549">
        <f>SUM(D68:D71)</f>
        <v>0</v>
      </c>
      <c r="E67" s="149">
        <f>SUM(E68:E71)</f>
        <v>0</v>
      </c>
      <c r="F67" s="149">
        <f>SUM(F68:F71)</f>
        <v>0</v>
      </c>
    </row>
    <row r="68" spans="1:6" s="238" customFormat="1" ht="12" customHeight="1">
      <c r="A68" s="14" t="s">
        <v>148</v>
      </c>
      <c r="B68" s="239" t="s">
        <v>279</v>
      </c>
      <c r="C68" s="697">
        <f t="shared" si="0"/>
        <v>0</v>
      </c>
      <c r="D68" s="488"/>
      <c r="E68" s="153"/>
      <c r="F68" s="153"/>
    </row>
    <row r="69" spans="1:6" s="238" customFormat="1" ht="12" customHeight="1">
      <c r="A69" s="13" t="s">
        <v>149</v>
      </c>
      <c r="B69" s="240" t="s">
        <v>280</v>
      </c>
      <c r="C69" s="698">
        <f aca="true" t="shared" si="1" ref="C69:C86">SUM(D69:F69)</f>
        <v>0</v>
      </c>
      <c r="D69" s="488"/>
      <c r="E69" s="153"/>
      <c r="F69" s="153"/>
    </row>
    <row r="70" spans="1:6" s="238" customFormat="1" ht="12" customHeight="1">
      <c r="A70" s="13" t="s">
        <v>305</v>
      </c>
      <c r="B70" s="240" t="s">
        <v>281</v>
      </c>
      <c r="C70" s="698">
        <f t="shared" si="1"/>
        <v>0</v>
      </c>
      <c r="D70" s="488"/>
      <c r="E70" s="153"/>
      <c r="F70" s="153"/>
    </row>
    <row r="71" spans="1:6" s="238" customFormat="1" ht="12" customHeight="1" thickBot="1">
      <c r="A71" s="15" t="s">
        <v>306</v>
      </c>
      <c r="B71" s="146" t="s">
        <v>282</v>
      </c>
      <c r="C71" s="699">
        <f t="shared" si="1"/>
        <v>0</v>
      </c>
      <c r="D71" s="488"/>
      <c r="E71" s="153"/>
      <c r="F71" s="153"/>
    </row>
    <row r="72" spans="1:6" s="238" customFormat="1" ht="12" customHeight="1" thickBot="1">
      <c r="A72" s="465" t="s">
        <v>283</v>
      </c>
      <c r="B72" s="144" t="s">
        <v>284</v>
      </c>
      <c r="C72" s="154">
        <f t="shared" si="1"/>
        <v>292133965</v>
      </c>
      <c r="D72" s="549">
        <f>SUM(D73:D74)</f>
        <v>289331423</v>
      </c>
      <c r="E72" s="149">
        <f>SUM(E73:E74)</f>
        <v>0</v>
      </c>
      <c r="F72" s="149">
        <f>SUM(F73:F74)</f>
        <v>2802542</v>
      </c>
    </row>
    <row r="73" spans="1:6" s="238" customFormat="1" ht="12" customHeight="1">
      <c r="A73" s="14" t="s">
        <v>307</v>
      </c>
      <c r="B73" s="239" t="s">
        <v>285</v>
      </c>
      <c r="C73" s="697">
        <f t="shared" si="1"/>
        <v>292133965</v>
      </c>
      <c r="D73" s="488">
        <v>289331423</v>
      </c>
      <c r="E73" s="153"/>
      <c r="F73" s="153">
        <v>2802542</v>
      </c>
    </row>
    <row r="74" spans="1:6" s="238" customFormat="1" ht="12" customHeight="1" thickBot="1">
      <c r="A74" s="15" t="s">
        <v>308</v>
      </c>
      <c r="B74" s="146" t="s">
        <v>286</v>
      </c>
      <c r="C74" s="699">
        <f t="shared" si="1"/>
        <v>0</v>
      </c>
      <c r="D74" s="488"/>
      <c r="E74" s="153"/>
      <c r="F74" s="153"/>
    </row>
    <row r="75" spans="1:6" s="238" customFormat="1" ht="12" customHeight="1" thickBot="1">
      <c r="A75" s="465" t="s">
        <v>287</v>
      </c>
      <c r="B75" s="144" t="s">
        <v>288</v>
      </c>
      <c r="C75" s="491">
        <f t="shared" si="1"/>
        <v>0</v>
      </c>
      <c r="D75" s="549">
        <f>SUM(D76:D78)</f>
        <v>0</v>
      </c>
      <c r="E75" s="149">
        <f>SUM(E76:E78)</f>
        <v>0</v>
      </c>
      <c r="F75" s="149">
        <f>SUM(F76:F78)</f>
        <v>0</v>
      </c>
    </row>
    <row r="76" spans="1:6" s="238" customFormat="1" ht="12" customHeight="1">
      <c r="A76" s="14" t="s">
        <v>309</v>
      </c>
      <c r="B76" s="239" t="s">
        <v>289</v>
      </c>
      <c r="C76" s="697">
        <f t="shared" si="1"/>
        <v>0</v>
      </c>
      <c r="D76" s="488"/>
      <c r="E76" s="153"/>
      <c r="F76" s="153"/>
    </row>
    <row r="77" spans="1:6" s="238" customFormat="1" ht="12" customHeight="1">
      <c r="A77" s="13" t="s">
        <v>310</v>
      </c>
      <c r="B77" s="240" t="s">
        <v>290</v>
      </c>
      <c r="C77" s="698">
        <f t="shared" si="1"/>
        <v>0</v>
      </c>
      <c r="D77" s="488"/>
      <c r="E77" s="153"/>
      <c r="F77" s="153"/>
    </row>
    <row r="78" spans="1:6" s="238" customFormat="1" ht="12" customHeight="1" thickBot="1">
      <c r="A78" s="15" t="s">
        <v>311</v>
      </c>
      <c r="B78" s="146" t="s">
        <v>291</v>
      </c>
      <c r="C78" s="699">
        <f t="shared" si="1"/>
        <v>0</v>
      </c>
      <c r="D78" s="488"/>
      <c r="E78" s="153"/>
      <c r="F78" s="153"/>
    </row>
    <row r="79" spans="1:6" s="238" customFormat="1" ht="12" customHeight="1" thickBot="1">
      <c r="A79" s="465" t="s">
        <v>292</v>
      </c>
      <c r="B79" s="144" t="s">
        <v>312</v>
      </c>
      <c r="C79" s="491">
        <f t="shared" si="1"/>
        <v>0</v>
      </c>
      <c r="D79" s="549">
        <f>SUM(D80:D83)</f>
        <v>0</v>
      </c>
      <c r="E79" s="149">
        <f>SUM(E80:E83)</f>
        <v>0</v>
      </c>
      <c r="F79" s="149">
        <f>SUM(F80:F83)</f>
        <v>0</v>
      </c>
    </row>
    <row r="80" spans="1:6" s="238" customFormat="1" ht="12" customHeight="1">
      <c r="A80" s="243" t="s">
        <v>293</v>
      </c>
      <c r="B80" s="239" t="s">
        <v>294</v>
      </c>
      <c r="C80" s="697">
        <f t="shared" si="1"/>
        <v>0</v>
      </c>
      <c r="D80" s="488"/>
      <c r="E80" s="153"/>
      <c r="F80" s="153"/>
    </row>
    <row r="81" spans="1:6" s="238" customFormat="1" ht="12" customHeight="1">
      <c r="A81" s="244" t="s">
        <v>295</v>
      </c>
      <c r="B81" s="240" t="s">
        <v>296</v>
      </c>
      <c r="C81" s="698">
        <f t="shared" si="1"/>
        <v>0</v>
      </c>
      <c r="D81" s="488"/>
      <c r="E81" s="153"/>
      <c r="F81" s="153"/>
    </row>
    <row r="82" spans="1:6" s="238" customFormat="1" ht="12" customHeight="1">
      <c r="A82" s="244" t="s">
        <v>297</v>
      </c>
      <c r="B82" s="240" t="s">
        <v>298</v>
      </c>
      <c r="C82" s="698">
        <f t="shared" si="1"/>
        <v>0</v>
      </c>
      <c r="D82" s="488"/>
      <c r="E82" s="153"/>
      <c r="F82" s="153"/>
    </row>
    <row r="83" spans="1:6" s="238" customFormat="1" ht="12" customHeight="1" thickBot="1">
      <c r="A83" s="245" t="s">
        <v>299</v>
      </c>
      <c r="B83" s="146" t="s">
        <v>300</v>
      </c>
      <c r="C83" s="699">
        <f t="shared" si="1"/>
        <v>0</v>
      </c>
      <c r="D83" s="488"/>
      <c r="E83" s="153"/>
      <c r="F83" s="153"/>
    </row>
    <row r="84" spans="1:6" s="238" customFormat="1" ht="12" customHeight="1" thickBot="1">
      <c r="A84" s="465" t="s">
        <v>301</v>
      </c>
      <c r="B84" s="144" t="s">
        <v>525</v>
      </c>
      <c r="C84" s="691">
        <f t="shared" si="1"/>
        <v>0</v>
      </c>
      <c r="D84" s="562"/>
      <c r="E84" s="278"/>
      <c r="F84" s="278"/>
    </row>
    <row r="85" spans="1:6" s="238" customFormat="1" ht="13.5" customHeight="1" thickBot="1">
      <c r="A85" s="465" t="s">
        <v>303</v>
      </c>
      <c r="B85" s="144" t="s">
        <v>302</v>
      </c>
      <c r="C85" s="491">
        <f t="shared" si="1"/>
        <v>0</v>
      </c>
      <c r="D85" s="562"/>
      <c r="E85" s="278"/>
      <c r="F85" s="278"/>
    </row>
    <row r="86" spans="1:6" s="238" customFormat="1" ht="15.75" customHeight="1" thickBot="1">
      <c r="A86" s="465" t="s">
        <v>315</v>
      </c>
      <c r="B86" s="246" t="s">
        <v>526</v>
      </c>
      <c r="C86" s="154">
        <f t="shared" si="1"/>
        <v>292133965</v>
      </c>
      <c r="D86" s="556">
        <f>+D63+D67+D72+D75+D79+D85+D84</f>
        <v>289331423</v>
      </c>
      <c r="E86" s="154">
        <f>+E63+E67+E72+E75+E79+E85+E84</f>
        <v>0</v>
      </c>
      <c r="F86" s="154">
        <f>+F63+F67+F72+F75+F79+F85+F84</f>
        <v>2802542</v>
      </c>
    </row>
    <row r="87" spans="1:6" s="238" customFormat="1" ht="16.5" customHeight="1" thickBot="1">
      <c r="A87" s="467" t="s">
        <v>527</v>
      </c>
      <c r="B87" s="247" t="s">
        <v>528</v>
      </c>
      <c r="C87" s="694">
        <f>SUM(D87:F87)</f>
        <v>2307249544</v>
      </c>
      <c r="D87" s="556">
        <f>+D62+D86</f>
        <v>2124066726</v>
      </c>
      <c r="E87" s="154">
        <f>+E62+E86</f>
        <v>2748500</v>
      </c>
      <c r="F87" s="154">
        <f>+F62+F86</f>
        <v>180434318</v>
      </c>
    </row>
    <row r="88" spans="1:3" s="238" customFormat="1" ht="83.25" customHeight="1">
      <c r="A88" s="4"/>
      <c r="B88" s="5"/>
      <c r="C88" s="155"/>
    </row>
    <row r="89" spans="1:3" ht="16.5" customHeight="1">
      <c r="A89" s="735" t="s">
        <v>70</v>
      </c>
      <c r="B89" s="735"/>
      <c r="C89" s="735"/>
    </row>
    <row r="90" spans="1:3" s="248" customFormat="1" ht="16.5" customHeight="1" thickBot="1">
      <c r="A90" s="736" t="s">
        <v>151</v>
      </c>
      <c r="B90" s="736"/>
      <c r="C90" s="88" t="s">
        <v>667</v>
      </c>
    </row>
    <row r="91" spans="1:3" ht="37.5" customHeight="1" thickBot="1">
      <c r="A91" s="22" t="s">
        <v>92</v>
      </c>
      <c r="B91" s="23" t="s">
        <v>71</v>
      </c>
      <c r="C91" s="36" t="str">
        <f>+C3</f>
        <v>2017. évi előirányzat</v>
      </c>
    </row>
    <row r="92" spans="1:3" s="237" customFormat="1" ht="12" customHeight="1" thickBot="1">
      <c r="A92" s="32" t="s">
        <v>512</v>
      </c>
      <c r="B92" s="33" t="s">
        <v>513</v>
      </c>
      <c r="C92" s="233" t="s">
        <v>514</v>
      </c>
    </row>
    <row r="93" spans="1:6" ht="12" customHeight="1" thickBot="1">
      <c r="A93" s="21" t="s">
        <v>41</v>
      </c>
      <c r="B93" s="26" t="s">
        <v>566</v>
      </c>
      <c r="C93" s="154">
        <f>SUM(D93:F93)</f>
        <v>1851973931</v>
      </c>
      <c r="D93" s="568">
        <f>+D94+D95+D96+D97+D98+D111</f>
        <v>950596259</v>
      </c>
      <c r="E93" s="148">
        <f>+E94+E95+E96+E97+E98+E111</f>
        <v>26260350</v>
      </c>
      <c r="F93" s="638">
        <f>F94+F95+F96+F97+F98+F111</f>
        <v>875117322</v>
      </c>
    </row>
    <row r="94" spans="1:6" ht="12" customHeight="1">
      <c r="A94" s="16" t="s">
        <v>117</v>
      </c>
      <c r="B94" s="9" t="s">
        <v>72</v>
      </c>
      <c r="C94" s="697">
        <f aca="true" t="shared" si="2" ref="C94:C154">SUM(D94:F94)</f>
        <v>837952335</v>
      </c>
      <c r="D94" s="642">
        <f>25364000+1932000+165142000+105000+48000+8381882+232903371+281000+326126</f>
        <v>434483379</v>
      </c>
      <c r="E94" s="509">
        <v>579000</v>
      </c>
      <c r="F94" s="559">
        <f>400743120+112360+2034476</f>
        <v>402889956</v>
      </c>
    </row>
    <row r="95" spans="1:6" ht="12" customHeight="1">
      <c r="A95" s="13" t="s">
        <v>118</v>
      </c>
      <c r="B95" s="7" t="s">
        <v>171</v>
      </c>
      <c r="C95" s="698">
        <f t="shared" si="2"/>
        <v>146862108</v>
      </c>
      <c r="D95" s="488">
        <f>5239000+425000+14000+19299000+23000+10000+922005+25618911+31000+35874</f>
        <v>51617790</v>
      </c>
      <c r="E95" s="153">
        <v>231000</v>
      </c>
      <c r="F95" s="557">
        <f>94550329+22247+440742</f>
        <v>95013318</v>
      </c>
    </row>
    <row r="96" spans="1:6" ht="12" customHeight="1">
      <c r="A96" s="13" t="s">
        <v>119</v>
      </c>
      <c r="B96" s="7" t="s">
        <v>146</v>
      </c>
      <c r="C96" s="698">
        <f t="shared" si="2"/>
        <v>625295331</v>
      </c>
      <c r="D96" s="499">
        <f>11475000+835000+2092900+774087+8715000+1817000+17736000+735000+300000+8485000+34925000+40773000+3429000+576000+3351000+16980000+46750042+1200000+4573000+1350000+36794904+20000+812000+400000+1982000</f>
        <v>246880933</v>
      </c>
      <c r="E96" s="228">
        <f>1141350+59000</f>
        <v>1200350</v>
      </c>
      <c r="F96" s="557">
        <f>377214048</f>
        <v>377214048</v>
      </c>
    </row>
    <row r="97" spans="1:6" ht="12" customHeight="1">
      <c r="A97" s="13" t="s">
        <v>120</v>
      </c>
      <c r="B97" s="7" t="s">
        <v>172</v>
      </c>
      <c r="C97" s="698">
        <f t="shared" si="2"/>
        <v>95230000</v>
      </c>
      <c r="D97" s="499">
        <f>70980000</f>
        <v>70980000</v>
      </c>
      <c r="E97" s="228">
        <v>24250000</v>
      </c>
      <c r="F97" s="557"/>
    </row>
    <row r="98" spans="1:6" ht="12" customHeight="1">
      <c r="A98" s="13" t="s">
        <v>131</v>
      </c>
      <c r="B98" s="6" t="s">
        <v>173</v>
      </c>
      <c r="C98" s="698">
        <f t="shared" si="2"/>
        <v>34666500</v>
      </c>
      <c r="D98" s="499">
        <f>SUM(D99:D110)</f>
        <v>34666500</v>
      </c>
      <c r="E98" s="228">
        <f>SUM(E99:E110)</f>
        <v>0</v>
      </c>
      <c r="F98" s="228"/>
    </row>
    <row r="99" spans="1:6" ht="12" customHeight="1">
      <c r="A99" s="13" t="s">
        <v>121</v>
      </c>
      <c r="B99" s="7" t="s">
        <v>529</v>
      </c>
      <c r="C99" s="698">
        <f t="shared" si="2"/>
        <v>1500</v>
      </c>
      <c r="D99" s="499">
        <v>1500</v>
      </c>
      <c r="E99" s="228"/>
      <c r="F99" s="228"/>
    </row>
    <row r="100" spans="1:6" ht="12" customHeight="1">
      <c r="A100" s="13" t="s">
        <v>122</v>
      </c>
      <c r="B100" s="92" t="s">
        <v>530</v>
      </c>
      <c r="C100" s="698">
        <f t="shared" si="2"/>
        <v>0</v>
      </c>
      <c r="D100" s="499"/>
      <c r="E100" s="228"/>
      <c r="F100" s="228"/>
    </row>
    <row r="101" spans="1:6" ht="12" customHeight="1">
      <c r="A101" s="13" t="s">
        <v>132</v>
      </c>
      <c r="B101" s="92" t="s">
        <v>531</v>
      </c>
      <c r="C101" s="698">
        <f t="shared" si="2"/>
        <v>0</v>
      </c>
      <c r="D101" s="499"/>
      <c r="E101" s="228"/>
      <c r="F101" s="228"/>
    </row>
    <row r="102" spans="1:6" ht="12" customHeight="1">
      <c r="A102" s="13" t="s">
        <v>133</v>
      </c>
      <c r="B102" s="90" t="s">
        <v>318</v>
      </c>
      <c r="C102" s="698">
        <f t="shared" si="2"/>
        <v>0</v>
      </c>
      <c r="D102" s="499"/>
      <c r="E102" s="228"/>
      <c r="F102" s="228"/>
    </row>
    <row r="103" spans="1:6" ht="12" customHeight="1">
      <c r="A103" s="13" t="s">
        <v>134</v>
      </c>
      <c r="B103" s="91" t="s">
        <v>319</v>
      </c>
      <c r="C103" s="698">
        <f t="shared" si="2"/>
        <v>0</v>
      </c>
      <c r="D103" s="499"/>
      <c r="E103" s="228"/>
      <c r="F103" s="228"/>
    </row>
    <row r="104" spans="1:6" ht="12" customHeight="1">
      <c r="A104" s="13" t="s">
        <v>135</v>
      </c>
      <c r="B104" s="91" t="s">
        <v>320</v>
      </c>
      <c r="C104" s="698">
        <f t="shared" si="2"/>
        <v>0</v>
      </c>
      <c r="D104" s="499"/>
      <c r="E104" s="228"/>
      <c r="F104" s="228"/>
    </row>
    <row r="105" spans="1:6" ht="12" customHeight="1">
      <c r="A105" s="13" t="s">
        <v>137</v>
      </c>
      <c r="B105" s="90" t="s">
        <v>321</v>
      </c>
      <c r="C105" s="698">
        <f t="shared" si="2"/>
        <v>0</v>
      </c>
      <c r="D105" s="499"/>
      <c r="E105" s="228"/>
      <c r="F105" s="228"/>
    </row>
    <row r="106" spans="1:6" ht="12" customHeight="1">
      <c r="A106" s="13" t="s">
        <v>174</v>
      </c>
      <c r="B106" s="90" t="s">
        <v>322</v>
      </c>
      <c r="C106" s="698">
        <f t="shared" si="2"/>
        <v>0</v>
      </c>
      <c r="D106" s="692"/>
      <c r="E106" s="228"/>
      <c r="F106" s="228"/>
    </row>
    <row r="107" spans="1:6" ht="12" customHeight="1">
      <c r="A107" s="13" t="s">
        <v>316</v>
      </c>
      <c r="B107" s="91" t="s">
        <v>323</v>
      </c>
      <c r="C107" s="698">
        <f t="shared" si="2"/>
        <v>0</v>
      </c>
      <c r="D107" s="499"/>
      <c r="E107" s="228"/>
      <c r="F107" s="228"/>
    </row>
    <row r="108" spans="1:6" ht="12" customHeight="1">
      <c r="A108" s="12" t="s">
        <v>317</v>
      </c>
      <c r="B108" s="92" t="s">
        <v>324</v>
      </c>
      <c r="C108" s="698">
        <f t="shared" si="2"/>
        <v>0</v>
      </c>
      <c r="D108" s="499"/>
      <c r="E108" s="228"/>
      <c r="F108" s="228"/>
    </row>
    <row r="109" spans="1:6" ht="12" customHeight="1">
      <c r="A109" s="13" t="s">
        <v>532</v>
      </c>
      <c r="B109" s="92" t="s">
        <v>325</v>
      </c>
      <c r="C109" s="698">
        <f t="shared" si="2"/>
        <v>0</v>
      </c>
      <c r="D109" s="499"/>
      <c r="E109" s="228"/>
      <c r="F109" s="228"/>
    </row>
    <row r="110" spans="1:6" ht="12" customHeight="1">
      <c r="A110" s="15" t="s">
        <v>533</v>
      </c>
      <c r="B110" s="92" t="s">
        <v>326</v>
      </c>
      <c r="C110" s="698">
        <f t="shared" si="2"/>
        <v>34665000</v>
      </c>
      <c r="D110" s="488">
        <f>536000+1500000+500000+4000000+200000+189000+7562000+16678000+3500000</f>
        <v>34665000</v>
      </c>
      <c r="E110" s="153"/>
      <c r="F110" s="228"/>
    </row>
    <row r="111" spans="1:6" ht="12" customHeight="1">
      <c r="A111" s="13" t="s">
        <v>534</v>
      </c>
      <c r="B111" s="7" t="s">
        <v>73</v>
      </c>
      <c r="C111" s="698">
        <f t="shared" si="2"/>
        <v>111967657</v>
      </c>
      <c r="D111" s="488">
        <f>SUM(D112:D113)</f>
        <v>111967657</v>
      </c>
      <c r="E111" s="153"/>
      <c r="F111" s="153">
        <f>SUM(F112:F113)</f>
        <v>0</v>
      </c>
    </row>
    <row r="112" spans="1:6" ht="12" customHeight="1">
      <c r="A112" s="13" t="s">
        <v>535</v>
      </c>
      <c r="B112" s="7" t="s">
        <v>536</v>
      </c>
      <c r="C112" s="698">
        <f t="shared" si="2"/>
        <v>10827687</v>
      </c>
      <c r="D112" s="499">
        <f>20000000-9172313</f>
        <v>10827687</v>
      </c>
      <c r="E112" s="228"/>
      <c r="F112" s="153"/>
    </row>
    <row r="113" spans="1:6" ht="12" customHeight="1" thickBot="1">
      <c r="A113" s="17" t="s">
        <v>537</v>
      </c>
      <c r="B113" s="468" t="s">
        <v>538</v>
      </c>
      <c r="C113" s="699">
        <f t="shared" si="2"/>
        <v>101139970</v>
      </c>
      <c r="D113" s="643">
        <f>111113300-8373330-1600000</f>
        <v>101139970</v>
      </c>
      <c r="E113" s="526"/>
      <c r="F113" s="526"/>
    </row>
    <row r="114" spans="1:6" ht="12" customHeight="1" thickBot="1">
      <c r="A114" s="469" t="s">
        <v>42</v>
      </c>
      <c r="B114" s="470" t="s">
        <v>327</v>
      </c>
      <c r="C114" s="154">
        <f t="shared" si="2"/>
        <v>157080394</v>
      </c>
      <c r="D114" s="549">
        <f>+D115+D117+D119</f>
        <v>151097974</v>
      </c>
      <c r="E114" s="149">
        <f>+E115+E117+E119</f>
        <v>0</v>
      </c>
      <c r="F114" s="471">
        <f>+F115+F117+F119</f>
        <v>5982420</v>
      </c>
    </row>
    <row r="115" spans="1:6" ht="12" customHeight="1">
      <c r="A115" s="14" t="s">
        <v>123</v>
      </c>
      <c r="B115" s="7" t="s">
        <v>191</v>
      </c>
      <c r="C115" s="697">
        <f t="shared" si="2"/>
        <v>53585001</v>
      </c>
      <c r="D115" s="560">
        <f>6621000+787402+10624171+3081125+529000+1654000+447000+2237000+6604000+204000+15179276</f>
        <v>47967974</v>
      </c>
      <c r="E115" s="277"/>
      <c r="F115" s="277">
        <v>5617027</v>
      </c>
    </row>
    <row r="116" spans="1:6" ht="12" customHeight="1">
      <c r="A116" s="14" t="s">
        <v>124</v>
      </c>
      <c r="B116" s="11" t="s">
        <v>331</v>
      </c>
      <c r="C116" s="698">
        <f t="shared" si="2"/>
        <v>14492698</v>
      </c>
      <c r="D116" s="560">
        <v>14492698</v>
      </c>
      <c r="E116" s="277"/>
      <c r="F116" s="277"/>
    </row>
    <row r="117" spans="1:6" ht="12" customHeight="1">
      <c r="A117" s="14" t="s">
        <v>125</v>
      </c>
      <c r="B117" s="11" t="s">
        <v>175</v>
      </c>
      <c r="C117" s="698">
        <f t="shared" si="2"/>
        <v>59023393</v>
      </c>
      <c r="D117" s="488">
        <f>53340000+1513000+2996000+809000</f>
        <v>58658000</v>
      </c>
      <c r="E117" s="153"/>
      <c r="F117" s="153">
        <f>500000-134607</f>
        <v>365393</v>
      </c>
    </row>
    <row r="118" spans="1:6" ht="12" customHeight="1">
      <c r="A118" s="14" t="s">
        <v>126</v>
      </c>
      <c r="B118" s="11" t="s">
        <v>332</v>
      </c>
      <c r="C118" s="698">
        <f t="shared" si="2"/>
        <v>53340000</v>
      </c>
      <c r="D118" s="488">
        <v>53340000</v>
      </c>
      <c r="E118" s="514"/>
      <c r="F118" s="514"/>
    </row>
    <row r="119" spans="1:6" ht="12" customHeight="1">
      <c r="A119" s="14" t="s">
        <v>127</v>
      </c>
      <c r="B119" s="146" t="s">
        <v>193</v>
      </c>
      <c r="C119" s="698">
        <f t="shared" si="2"/>
        <v>44472000</v>
      </c>
      <c r="D119" s="499">
        <f>SUM(D120:D127)</f>
        <v>44472000</v>
      </c>
      <c r="E119" s="488"/>
      <c r="F119" s="488"/>
    </row>
    <row r="120" spans="1:6" ht="12" customHeight="1">
      <c r="A120" s="14" t="s">
        <v>136</v>
      </c>
      <c r="B120" s="145" t="s">
        <v>394</v>
      </c>
      <c r="C120" s="698">
        <f t="shared" si="2"/>
        <v>0</v>
      </c>
      <c r="D120" s="135"/>
      <c r="E120" s="135"/>
      <c r="F120" s="135"/>
    </row>
    <row r="121" spans="1:6" ht="12" customHeight="1">
      <c r="A121" s="14" t="s">
        <v>138</v>
      </c>
      <c r="B121" s="235" t="s">
        <v>337</v>
      </c>
      <c r="C121" s="698">
        <f t="shared" si="2"/>
        <v>0</v>
      </c>
      <c r="D121" s="135"/>
      <c r="E121" s="135"/>
      <c r="F121" s="135"/>
    </row>
    <row r="122" spans="1:6" ht="15.75">
      <c r="A122" s="14" t="s">
        <v>176</v>
      </c>
      <c r="B122" s="91" t="s">
        <v>320</v>
      </c>
      <c r="C122" s="698">
        <f t="shared" si="2"/>
        <v>0</v>
      </c>
      <c r="D122" s="135"/>
      <c r="E122" s="135"/>
      <c r="F122" s="135"/>
    </row>
    <row r="123" spans="1:6" ht="12" customHeight="1">
      <c r="A123" s="14" t="s">
        <v>177</v>
      </c>
      <c r="B123" s="91" t="s">
        <v>336</v>
      </c>
      <c r="C123" s="698">
        <f t="shared" si="2"/>
        <v>0</v>
      </c>
      <c r="D123" s="135"/>
      <c r="E123" s="135"/>
      <c r="F123" s="135"/>
    </row>
    <row r="124" spans="1:6" ht="12" customHeight="1">
      <c r="A124" s="14" t="s">
        <v>178</v>
      </c>
      <c r="B124" s="91" t="s">
        <v>335</v>
      </c>
      <c r="C124" s="698">
        <f t="shared" si="2"/>
        <v>0</v>
      </c>
      <c r="D124" s="135"/>
      <c r="E124" s="135"/>
      <c r="F124" s="135"/>
    </row>
    <row r="125" spans="1:6" ht="12" customHeight="1">
      <c r="A125" s="14" t="s">
        <v>328</v>
      </c>
      <c r="B125" s="91" t="s">
        <v>323</v>
      </c>
      <c r="C125" s="698">
        <f t="shared" si="2"/>
        <v>0</v>
      </c>
      <c r="D125" s="135"/>
      <c r="E125" s="135"/>
      <c r="F125" s="135"/>
    </row>
    <row r="126" spans="1:6" ht="12" customHeight="1">
      <c r="A126" s="14" t="s">
        <v>329</v>
      </c>
      <c r="B126" s="91" t="s">
        <v>334</v>
      </c>
      <c r="C126" s="698">
        <f t="shared" si="2"/>
        <v>0</v>
      </c>
      <c r="D126" s="135"/>
      <c r="E126" s="135"/>
      <c r="F126" s="135"/>
    </row>
    <row r="127" spans="1:6" ht="16.5" thickBot="1">
      <c r="A127" s="12" t="s">
        <v>330</v>
      </c>
      <c r="B127" s="91" t="s">
        <v>333</v>
      </c>
      <c r="C127" s="699">
        <f t="shared" si="2"/>
        <v>44472000</v>
      </c>
      <c r="D127" s="136">
        <f>42072000+2400000</f>
        <v>44472000</v>
      </c>
      <c r="E127" s="499"/>
      <c r="F127" s="136"/>
    </row>
    <row r="128" spans="1:6" ht="12" customHeight="1" thickBot="1">
      <c r="A128" s="19" t="s">
        <v>43</v>
      </c>
      <c r="B128" s="86" t="s">
        <v>539</v>
      </c>
      <c r="C128" s="154">
        <f t="shared" si="2"/>
        <v>2009054325</v>
      </c>
      <c r="D128" s="549">
        <f>+D93+D114</f>
        <v>1101694233</v>
      </c>
      <c r="E128" s="149">
        <f>+E93+E114</f>
        <v>26260350</v>
      </c>
      <c r="F128" s="149">
        <f>+F93+F114</f>
        <v>881099742</v>
      </c>
    </row>
    <row r="129" spans="1:6" ht="12" customHeight="1" thickBot="1">
      <c r="A129" s="19" t="s">
        <v>44</v>
      </c>
      <c r="B129" s="86" t="s">
        <v>540</v>
      </c>
      <c r="C129" s="491">
        <f t="shared" si="2"/>
        <v>0</v>
      </c>
      <c r="D129" s="549">
        <f>+D130+D131+D132</f>
        <v>0</v>
      </c>
      <c r="E129" s="149">
        <f>+E130+E131+E132</f>
        <v>0</v>
      </c>
      <c r="F129" s="149">
        <f>+F130+F131+F132</f>
        <v>0</v>
      </c>
    </row>
    <row r="130" spans="1:6" ht="12" customHeight="1">
      <c r="A130" s="14" t="s">
        <v>228</v>
      </c>
      <c r="B130" s="11" t="s">
        <v>541</v>
      </c>
      <c r="C130" s="697">
        <f t="shared" si="2"/>
        <v>0</v>
      </c>
      <c r="D130" s="488"/>
      <c r="E130" s="488"/>
      <c r="F130" s="488"/>
    </row>
    <row r="131" spans="1:6" ht="12" customHeight="1">
      <c r="A131" s="14" t="s">
        <v>231</v>
      </c>
      <c r="B131" s="11" t="s">
        <v>542</v>
      </c>
      <c r="C131" s="698">
        <f t="shared" si="2"/>
        <v>0</v>
      </c>
      <c r="D131" s="135"/>
      <c r="E131" s="135"/>
      <c r="F131" s="135"/>
    </row>
    <row r="132" spans="1:6" ht="12" customHeight="1" thickBot="1">
      <c r="A132" s="12" t="s">
        <v>232</v>
      </c>
      <c r="B132" s="11" t="s">
        <v>543</v>
      </c>
      <c r="C132" s="699">
        <f t="shared" si="2"/>
        <v>0</v>
      </c>
      <c r="D132" s="135"/>
      <c r="E132" s="135"/>
      <c r="F132" s="135"/>
    </row>
    <row r="133" spans="1:6" ht="12" customHeight="1" thickBot="1">
      <c r="A133" s="19" t="s">
        <v>45</v>
      </c>
      <c r="B133" s="86" t="s">
        <v>544</v>
      </c>
      <c r="C133" s="491">
        <f t="shared" si="2"/>
        <v>0</v>
      </c>
      <c r="D133" s="549">
        <f>+D134+D135+D136+D137+D138+D139</f>
        <v>0</v>
      </c>
      <c r="E133" s="149">
        <f>+E134+E135+E136+E137+E138+E139</f>
        <v>0</v>
      </c>
      <c r="F133" s="149">
        <f>SUM(F134:F139)</f>
        <v>0</v>
      </c>
    </row>
    <row r="134" spans="1:6" ht="12" customHeight="1">
      <c r="A134" s="14" t="s">
        <v>110</v>
      </c>
      <c r="B134" s="8" t="s">
        <v>545</v>
      </c>
      <c r="C134" s="697">
        <f t="shared" si="2"/>
        <v>0</v>
      </c>
      <c r="D134" s="135"/>
      <c r="E134" s="135"/>
      <c r="F134" s="135"/>
    </row>
    <row r="135" spans="1:6" ht="12" customHeight="1">
      <c r="A135" s="14" t="s">
        <v>111</v>
      </c>
      <c r="B135" s="8" t="s">
        <v>546</v>
      </c>
      <c r="C135" s="698">
        <f t="shared" si="2"/>
        <v>0</v>
      </c>
      <c r="D135" s="135"/>
      <c r="E135" s="135"/>
      <c r="F135" s="135"/>
    </row>
    <row r="136" spans="1:6" ht="12" customHeight="1">
      <c r="A136" s="14" t="s">
        <v>112</v>
      </c>
      <c r="B136" s="8" t="s">
        <v>547</v>
      </c>
      <c r="C136" s="698">
        <f t="shared" si="2"/>
        <v>0</v>
      </c>
      <c r="D136" s="135"/>
      <c r="E136" s="135"/>
      <c r="F136" s="135"/>
    </row>
    <row r="137" spans="1:6" ht="12" customHeight="1">
      <c r="A137" s="14" t="s">
        <v>163</v>
      </c>
      <c r="B137" s="8" t="s">
        <v>548</v>
      </c>
      <c r="C137" s="698">
        <f t="shared" si="2"/>
        <v>0</v>
      </c>
      <c r="D137" s="135"/>
      <c r="E137" s="135"/>
      <c r="F137" s="135"/>
    </row>
    <row r="138" spans="1:6" ht="12" customHeight="1">
      <c r="A138" s="14" t="s">
        <v>164</v>
      </c>
      <c r="B138" s="8" t="s">
        <v>549</v>
      </c>
      <c r="C138" s="698">
        <f t="shared" si="2"/>
        <v>0</v>
      </c>
      <c r="D138" s="135"/>
      <c r="E138" s="135"/>
      <c r="F138" s="135"/>
    </row>
    <row r="139" spans="1:6" ht="12" customHeight="1" thickBot="1">
      <c r="A139" s="12" t="s">
        <v>165</v>
      </c>
      <c r="B139" s="8" t="s">
        <v>550</v>
      </c>
      <c r="C139" s="699">
        <f t="shared" si="2"/>
        <v>0</v>
      </c>
      <c r="D139" s="135"/>
      <c r="E139" s="135"/>
      <c r="F139" s="135"/>
    </row>
    <row r="140" spans="1:6" ht="12" customHeight="1" thickBot="1">
      <c r="A140" s="19" t="s">
        <v>46</v>
      </c>
      <c r="B140" s="86" t="s">
        <v>551</v>
      </c>
      <c r="C140" s="154">
        <f t="shared" si="2"/>
        <v>35164932</v>
      </c>
      <c r="D140" s="556">
        <f>+D141+D142+D143+D144</f>
        <v>35164932</v>
      </c>
      <c r="E140" s="154">
        <f>+E141+E142+E143+E144</f>
        <v>0</v>
      </c>
      <c r="F140" s="154">
        <f>+F141+F142+F143+F144</f>
        <v>0</v>
      </c>
    </row>
    <row r="141" spans="1:6" ht="12" customHeight="1">
      <c r="A141" s="14" t="s">
        <v>113</v>
      </c>
      <c r="B141" s="8" t="s">
        <v>338</v>
      </c>
      <c r="C141" s="697">
        <f t="shared" si="2"/>
        <v>0</v>
      </c>
      <c r="D141" s="135"/>
      <c r="E141" s="135"/>
      <c r="F141" s="135"/>
    </row>
    <row r="142" spans="1:6" ht="12" customHeight="1">
      <c r="A142" s="14" t="s">
        <v>114</v>
      </c>
      <c r="B142" s="8" t="s">
        <v>339</v>
      </c>
      <c r="C142" s="698">
        <f t="shared" si="2"/>
        <v>35164932</v>
      </c>
      <c r="D142" s="135">
        <v>35164932</v>
      </c>
      <c r="E142" s="135"/>
      <c r="F142" s="135"/>
    </row>
    <row r="143" spans="1:6" ht="12" customHeight="1">
      <c r="A143" s="14" t="s">
        <v>252</v>
      </c>
      <c r="B143" s="8" t="s">
        <v>552</v>
      </c>
      <c r="C143" s="698">
        <f t="shared" si="2"/>
        <v>0</v>
      </c>
      <c r="D143" s="135"/>
      <c r="E143" s="135"/>
      <c r="F143" s="135"/>
    </row>
    <row r="144" spans="1:6" ht="12" customHeight="1" thickBot="1">
      <c r="A144" s="12" t="s">
        <v>253</v>
      </c>
      <c r="B144" s="6" t="s">
        <v>357</v>
      </c>
      <c r="C144" s="699">
        <f t="shared" si="2"/>
        <v>0</v>
      </c>
      <c r="D144" s="135"/>
      <c r="E144" s="135"/>
      <c r="F144" s="135"/>
    </row>
    <row r="145" spans="1:6" ht="12" customHeight="1" thickBot="1">
      <c r="A145" s="19" t="s">
        <v>47</v>
      </c>
      <c r="B145" s="86" t="s">
        <v>553</v>
      </c>
      <c r="C145" s="491">
        <f t="shared" si="2"/>
        <v>0</v>
      </c>
      <c r="D145" s="574">
        <f>+D146+D147+D148+D149+D150</f>
        <v>0</v>
      </c>
      <c r="E145" s="157">
        <f>+E146+E147+E148+E149+E150</f>
        <v>0</v>
      </c>
      <c r="F145" s="157">
        <f>SUM(F146:F150)</f>
        <v>0</v>
      </c>
    </row>
    <row r="146" spans="1:6" ht="12" customHeight="1">
      <c r="A146" s="14" t="s">
        <v>115</v>
      </c>
      <c r="B146" s="8" t="s">
        <v>554</v>
      </c>
      <c r="C146" s="697">
        <f t="shared" si="2"/>
        <v>0</v>
      </c>
      <c r="D146" s="135"/>
      <c r="E146" s="135"/>
      <c r="F146" s="135"/>
    </row>
    <row r="147" spans="1:6" ht="12" customHeight="1">
      <c r="A147" s="14" t="s">
        <v>116</v>
      </c>
      <c r="B147" s="8" t="s">
        <v>555</v>
      </c>
      <c r="C147" s="698">
        <f t="shared" si="2"/>
        <v>0</v>
      </c>
      <c r="D147" s="135"/>
      <c r="E147" s="135"/>
      <c r="F147" s="135"/>
    </row>
    <row r="148" spans="1:6" ht="12" customHeight="1">
      <c r="A148" s="14" t="s">
        <v>264</v>
      </c>
      <c r="B148" s="8" t="s">
        <v>556</v>
      </c>
      <c r="C148" s="698">
        <f t="shared" si="2"/>
        <v>0</v>
      </c>
      <c r="D148" s="135"/>
      <c r="E148" s="135"/>
      <c r="F148" s="135"/>
    </row>
    <row r="149" spans="1:6" ht="12" customHeight="1">
      <c r="A149" s="14" t="s">
        <v>265</v>
      </c>
      <c r="B149" s="8" t="s">
        <v>557</v>
      </c>
      <c r="C149" s="698">
        <f t="shared" si="2"/>
        <v>0</v>
      </c>
      <c r="D149" s="135"/>
      <c r="E149" s="135"/>
      <c r="F149" s="135"/>
    </row>
    <row r="150" spans="1:6" ht="12" customHeight="1" thickBot="1">
      <c r="A150" s="14" t="s">
        <v>558</v>
      </c>
      <c r="B150" s="8" t="s">
        <v>559</v>
      </c>
      <c r="C150" s="699">
        <f t="shared" si="2"/>
        <v>0</v>
      </c>
      <c r="D150" s="136"/>
      <c r="E150" s="136"/>
      <c r="F150" s="135"/>
    </row>
    <row r="151" spans="1:6" ht="12" customHeight="1" thickBot="1">
      <c r="A151" s="19" t="s">
        <v>48</v>
      </c>
      <c r="B151" s="86" t="s">
        <v>560</v>
      </c>
      <c r="C151" s="149">
        <f t="shared" si="2"/>
        <v>0</v>
      </c>
      <c r="D151" s="574"/>
      <c r="E151" s="157"/>
      <c r="F151" s="472"/>
    </row>
    <row r="152" spans="1:6" ht="12" customHeight="1" thickBot="1">
      <c r="A152" s="19" t="s">
        <v>49</v>
      </c>
      <c r="B152" s="86" t="s">
        <v>561</v>
      </c>
      <c r="C152" s="148">
        <f t="shared" si="2"/>
        <v>0</v>
      </c>
      <c r="D152" s="574"/>
      <c r="E152" s="157"/>
      <c r="F152" s="472"/>
    </row>
    <row r="153" spans="1:9" ht="15" customHeight="1" thickBot="1">
      <c r="A153" s="19" t="s">
        <v>50</v>
      </c>
      <c r="B153" s="86" t="s">
        <v>562</v>
      </c>
      <c r="C153" s="148">
        <f t="shared" si="2"/>
        <v>35164932</v>
      </c>
      <c r="D153" s="577">
        <f>+D129+D133+D140+D145+D151+D152</f>
        <v>35164932</v>
      </c>
      <c r="E153" s="249">
        <f>+E129+E133+E140+E145+E151+E152</f>
        <v>0</v>
      </c>
      <c r="F153" s="249">
        <f>+F129+F133+F140+F145+F151+F152</f>
        <v>0</v>
      </c>
      <c r="G153" s="250"/>
      <c r="H153" s="250"/>
      <c r="I153" s="250"/>
    </row>
    <row r="154" spans="1:6" s="238" customFormat="1" ht="12.75" customHeight="1" thickBot="1">
      <c r="A154" s="147" t="s">
        <v>51</v>
      </c>
      <c r="B154" s="224" t="s">
        <v>563</v>
      </c>
      <c r="C154" s="149">
        <f t="shared" si="2"/>
        <v>2044219257</v>
      </c>
      <c r="D154" s="577">
        <f>+D128+D153</f>
        <v>1136859165</v>
      </c>
      <c r="E154" s="249">
        <f>+E128+E153</f>
        <v>26260350</v>
      </c>
      <c r="F154" s="249">
        <f>+F128+F153</f>
        <v>881099742</v>
      </c>
    </row>
    <row r="155" ht="7.5" customHeight="1"/>
    <row r="156" spans="1:3" ht="15.75">
      <c r="A156" s="737" t="s">
        <v>340</v>
      </c>
      <c r="B156" s="737"/>
      <c r="C156" s="737"/>
    </row>
    <row r="157" spans="1:3" ht="15" customHeight="1" thickBot="1">
      <c r="A157" s="734" t="s">
        <v>152</v>
      </c>
      <c r="B157" s="734"/>
      <c r="C157" s="158" t="s">
        <v>667</v>
      </c>
    </row>
    <row r="158" spans="1:3" ht="13.5" customHeight="1" thickBot="1">
      <c r="A158" s="19">
        <v>1</v>
      </c>
      <c r="B158" s="25" t="s">
        <v>564</v>
      </c>
      <c r="C158" s="149">
        <f>+C62-C128</f>
        <v>6061254</v>
      </c>
    </row>
    <row r="159" spans="1:3" ht="27.75" customHeight="1" thickBot="1">
      <c r="A159" s="19" t="s">
        <v>42</v>
      </c>
      <c r="B159" s="25" t="s">
        <v>565</v>
      </c>
      <c r="C159" s="149">
        <f>+C86-C153</f>
        <v>256969033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 melléklet a 11/2017.(III.30.)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65" sqref="C65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+CONCATENATE("9.3.1. melléklet a ……/",LEFT(#REF!,4),". (….) önkormányzati rendelethez")</f>
        <v>#REF!</v>
      </c>
    </row>
    <row r="2" spans="1:3" s="272" customFormat="1" ht="34.5" customHeight="1">
      <c r="A2" s="229" t="s">
        <v>185</v>
      </c>
      <c r="B2" s="202" t="s">
        <v>608</v>
      </c>
      <c r="C2" s="216" t="s">
        <v>84</v>
      </c>
    </row>
    <row r="3" spans="1:3" s="272" customFormat="1" ht="24.75" thickBot="1">
      <c r="A3" s="265" t="s">
        <v>184</v>
      </c>
      <c r="B3" s="203" t="s">
        <v>383</v>
      </c>
      <c r="C3" s="217" t="s">
        <v>83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144050464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14512306</v>
      </c>
    </row>
    <row r="11" spans="1:3" s="218" customFormat="1" ht="12" customHeight="1">
      <c r="A11" s="267" t="s">
        <v>119</v>
      </c>
      <c r="B11" s="7" t="s">
        <v>243</v>
      </c>
      <c r="C11" s="163">
        <v>70193340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20539068</v>
      </c>
    </row>
    <row r="14" spans="1:3" s="218" customFormat="1" ht="12" customHeight="1">
      <c r="A14" s="267" t="s">
        <v>121</v>
      </c>
      <c r="B14" s="7" t="s">
        <v>366</v>
      </c>
      <c r="C14" s="163">
        <v>24497750</v>
      </c>
    </row>
    <row r="15" spans="1:3" s="218" customFormat="1" ht="12" customHeight="1">
      <c r="A15" s="267" t="s">
        <v>122</v>
      </c>
      <c r="B15" s="6" t="s">
        <v>367</v>
      </c>
      <c r="C15" s="163">
        <v>14308000</v>
      </c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144050464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195197640</v>
      </c>
    </row>
    <row r="38" spans="1:3" s="218" customFormat="1" ht="12" customHeight="1">
      <c r="A38" s="268" t="s">
        <v>376</v>
      </c>
      <c r="B38" s="269" t="s">
        <v>200</v>
      </c>
      <c r="C38" s="53">
        <v>2265992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192787844+170800-26996</f>
        <v>192931648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339248104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337606413</v>
      </c>
    </row>
    <row r="46" spans="1:3" ht="12" customHeight="1">
      <c r="A46" s="267" t="s">
        <v>117</v>
      </c>
      <c r="B46" s="8" t="s">
        <v>72</v>
      </c>
      <c r="C46" s="53">
        <f>75543661+140000-18000+112360</f>
        <v>75778021</v>
      </c>
    </row>
    <row r="47" spans="1:3" ht="12" customHeight="1">
      <c r="A47" s="267" t="s">
        <v>118</v>
      </c>
      <c r="B47" s="7" t="s">
        <v>171</v>
      </c>
      <c r="C47" s="55">
        <f>18790516+30800-8996+22247</f>
        <v>18834567</v>
      </c>
    </row>
    <row r="48" spans="1:3" ht="12" customHeight="1">
      <c r="A48" s="267" t="s">
        <v>119</v>
      </c>
      <c r="B48" s="7" t="s">
        <v>146</v>
      </c>
      <c r="C48" s="55">
        <v>242993825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1641691</v>
      </c>
    </row>
    <row r="52" spans="1:3" s="276" customFormat="1" ht="12" customHeight="1">
      <c r="A52" s="267" t="s">
        <v>123</v>
      </c>
      <c r="B52" s="8" t="s">
        <v>191</v>
      </c>
      <c r="C52" s="53">
        <v>1276298</v>
      </c>
    </row>
    <row r="53" spans="1:3" ht="12" customHeight="1">
      <c r="A53" s="267" t="s">
        <v>124</v>
      </c>
      <c r="B53" s="7" t="s">
        <v>175</v>
      </c>
      <c r="C53" s="55">
        <f>500000-134607</f>
        <v>365393</v>
      </c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339248104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482">
        <v>36.5</v>
      </c>
    </row>
    <row r="60" spans="1:3" ht="13.5" thickBot="1">
      <c r="A60" s="131" t="s">
        <v>187</v>
      </c>
      <c r="B60" s="13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a11/2017.(III.30.)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+CONCATENATE("9.3.2. melléklet a ……/",LEFT(#REF!,4),". (….) önkormányzati rendelethez")</f>
        <v>#REF!</v>
      </c>
    </row>
    <row r="2" spans="1:3" s="272" customFormat="1" ht="33.75" customHeight="1">
      <c r="A2" s="229" t="s">
        <v>185</v>
      </c>
      <c r="B2" s="202" t="s">
        <v>608</v>
      </c>
      <c r="C2" s="216" t="s">
        <v>84</v>
      </c>
    </row>
    <row r="3" spans="1:3" s="272" customFormat="1" ht="24.75" thickBot="1">
      <c r="A3" s="265" t="s">
        <v>184</v>
      </c>
      <c r="B3" s="203" t="s">
        <v>384</v>
      </c>
      <c r="C3" s="217" t="s">
        <v>84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16733746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16701996</v>
      </c>
    </row>
    <row r="11" spans="1:3" s="218" customFormat="1" ht="12" customHeight="1">
      <c r="A11" s="267" t="s">
        <v>119</v>
      </c>
      <c r="B11" s="7" t="s">
        <v>243</v>
      </c>
      <c r="C11" s="163">
        <v>25000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/>
    </row>
    <row r="14" spans="1:3" s="218" customFormat="1" ht="12" customHeight="1">
      <c r="A14" s="267" t="s">
        <v>121</v>
      </c>
      <c r="B14" s="7" t="s">
        <v>366</v>
      </c>
      <c r="C14" s="163">
        <v>6750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16733746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9453638</v>
      </c>
    </row>
    <row r="38" spans="1:3" s="218" customFormat="1" ht="12" customHeight="1">
      <c r="A38" s="268" t="s">
        <v>376</v>
      </c>
      <c r="B38" s="269" t="s">
        <v>200</v>
      </c>
      <c r="C38" s="53"/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9381830+71808</f>
        <v>9453638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26187384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26187384</v>
      </c>
    </row>
    <row r="46" spans="1:3" ht="12" customHeight="1">
      <c r="A46" s="267" t="s">
        <v>117</v>
      </c>
      <c r="B46" s="8" t="s">
        <v>72</v>
      </c>
      <c r="C46" s="53">
        <f>5490499+59808</f>
        <v>5550307</v>
      </c>
    </row>
    <row r="47" spans="1:3" ht="12" customHeight="1">
      <c r="A47" s="267" t="s">
        <v>118</v>
      </c>
      <c r="B47" s="7" t="s">
        <v>171</v>
      </c>
      <c r="C47" s="55">
        <f>1227785+12000</f>
        <v>1239785</v>
      </c>
    </row>
    <row r="48" spans="1:3" ht="12" customHeight="1">
      <c r="A48" s="267" t="s">
        <v>119</v>
      </c>
      <c r="B48" s="7" t="s">
        <v>146</v>
      </c>
      <c r="C48" s="55">
        <v>19397292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0</v>
      </c>
    </row>
    <row r="52" spans="1:3" s="276" customFormat="1" ht="12" customHeight="1">
      <c r="A52" s="267" t="s">
        <v>123</v>
      </c>
      <c r="B52" s="8" t="s">
        <v>191</v>
      </c>
      <c r="C52" s="53"/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26187384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482">
        <v>3.5</v>
      </c>
    </row>
    <row r="60" spans="1:3" ht="13.5" thickBot="1">
      <c r="A60" s="131" t="s">
        <v>187</v>
      </c>
      <c r="B60" s="13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11/2017.(III.30.)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 melléklet a ……/",LEFT(#REF!,4),". (….) önkormányzati rendelethez")</f>
        <v>#REF!</v>
      </c>
    </row>
    <row r="2" spans="1:3" s="272" customFormat="1" ht="33.75" customHeight="1">
      <c r="A2" s="229" t="s">
        <v>185</v>
      </c>
      <c r="B2" s="202" t="s">
        <v>644</v>
      </c>
      <c r="C2" s="216" t="s">
        <v>84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197271992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24562736</v>
      </c>
    </row>
    <row r="11" spans="1:3" s="218" customFormat="1" ht="12" customHeight="1">
      <c r="A11" s="267" t="s">
        <v>119</v>
      </c>
      <c r="B11" s="7" t="s">
        <v>243</v>
      </c>
      <c r="C11" s="163">
        <v>10500000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158991720</v>
      </c>
    </row>
    <row r="14" spans="1:3" s="218" customFormat="1" ht="12" customHeight="1">
      <c r="A14" s="267" t="s">
        <v>121</v>
      </c>
      <c r="B14" s="7" t="s">
        <v>366</v>
      </c>
      <c r="C14" s="163">
        <v>3217536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5485000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>
        <v>5485000</v>
      </c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202756992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383654797</v>
      </c>
    </row>
    <row r="38" spans="1:3" s="218" customFormat="1" ht="12" customHeight="1">
      <c r="A38" s="268" t="s">
        <v>376</v>
      </c>
      <c r="B38" s="269" t="s">
        <v>200</v>
      </c>
      <c r="C38" s="53">
        <v>418046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373234311+10002440</f>
        <v>383236751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586411789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583131629</v>
      </c>
    </row>
    <row r="46" spans="1:3" ht="12" customHeight="1">
      <c r="A46" s="267" t="s">
        <v>117</v>
      </c>
      <c r="B46" s="8" t="s">
        <v>72</v>
      </c>
      <c r="C46" s="53">
        <f>312180187+7690498</f>
        <v>319870685</v>
      </c>
    </row>
    <row r="47" spans="1:3" ht="12" customHeight="1">
      <c r="A47" s="267" t="s">
        <v>118</v>
      </c>
      <c r="B47" s="7" t="s">
        <v>171</v>
      </c>
      <c r="C47" s="55">
        <f>72296262+1676942</f>
        <v>73973204</v>
      </c>
    </row>
    <row r="48" spans="1:3" ht="12" customHeight="1">
      <c r="A48" s="267" t="s">
        <v>119</v>
      </c>
      <c r="B48" s="7" t="s">
        <v>146</v>
      </c>
      <c r="C48" s="55">
        <f>188712640+635000-59900</f>
        <v>189287740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3280160</v>
      </c>
    </row>
    <row r="52" spans="1:3" s="276" customFormat="1" ht="12" customHeight="1">
      <c r="A52" s="267" t="s">
        <v>123</v>
      </c>
      <c r="B52" s="8" t="s">
        <v>191</v>
      </c>
      <c r="C52" s="53">
        <f>3220260+59900</f>
        <v>3280160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586411789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482">
        <v>142.8</v>
      </c>
    </row>
    <row r="60" spans="1:3" ht="13.5" thickBot="1">
      <c r="A60" s="131" t="s">
        <v>620</v>
      </c>
      <c r="B60" s="132"/>
      <c r="C60" s="85">
        <v>4</v>
      </c>
    </row>
    <row r="61" spans="1:3" ht="13.5" thickBot="1">
      <c r="A61" s="131" t="s">
        <v>623</v>
      </c>
      <c r="B61" s="132"/>
      <c r="C61" s="85">
        <v>32</v>
      </c>
    </row>
    <row r="62" spans="1:3" ht="13.5" thickBot="1">
      <c r="A62" s="746" t="s">
        <v>624</v>
      </c>
      <c r="B62" s="747"/>
      <c r="C62" s="8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11/2017.(III.30.)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+CONCATENATE("9.3.2. melléklet a ……/",LEFT(#REF!,4),". (….) önkormányzati rendelethez")</f>
        <v>#REF!</v>
      </c>
    </row>
    <row r="2" spans="1:3" s="272" customFormat="1" ht="34.5" customHeight="1">
      <c r="A2" s="229" t="s">
        <v>185</v>
      </c>
      <c r="B2" s="202" t="s">
        <v>644</v>
      </c>
      <c r="C2" s="216" t="s">
        <v>84</v>
      </c>
    </row>
    <row r="3" spans="1:3" s="272" customFormat="1" ht="24.75" thickBot="1">
      <c r="A3" s="265" t="s">
        <v>184</v>
      </c>
      <c r="B3" s="203" t="s">
        <v>384</v>
      </c>
      <c r="C3" s="217" t="s">
        <v>84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195472656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23145936</v>
      </c>
    </row>
    <row r="11" spans="1:3" s="218" customFormat="1" ht="12" customHeight="1">
      <c r="A11" s="267" t="s">
        <v>119</v>
      </c>
      <c r="B11" s="7" t="s">
        <v>243</v>
      </c>
      <c r="C11" s="163">
        <v>10500000</v>
      </c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158991720</v>
      </c>
    </row>
    <row r="14" spans="1:3" s="218" customFormat="1" ht="12" customHeight="1">
      <c r="A14" s="267" t="s">
        <v>121</v>
      </c>
      <c r="B14" s="7" t="s">
        <v>366</v>
      </c>
      <c r="C14" s="163">
        <v>2835000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5485000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>
        <v>5485000</v>
      </c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200957656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301591665</v>
      </c>
    </row>
    <row r="38" spans="1:3" s="218" customFormat="1" ht="12" customHeight="1">
      <c r="A38" s="268" t="s">
        <v>376</v>
      </c>
      <c r="B38" s="269" t="s">
        <v>200</v>
      </c>
      <c r="C38" s="53">
        <v>418046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291171179+10002440</f>
        <v>301173619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502549321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499334161</v>
      </c>
    </row>
    <row r="46" spans="1:3" ht="12" customHeight="1">
      <c r="A46" s="267" t="s">
        <v>117</v>
      </c>
      <c r="B46" s="8" t="s">
        <v>72</v>
      </c>
      <c r="C46" s="53">
        <f>252961952+7690498</f>
        <v>260652450</v>
      </c>
    </row>
    <row r="47" spans="1:3" ht="12" customHeight="1">
      <c r="A47" s="267" t="s">
        <v>118</v>
      </c>
      <c r="B47" s="7" t="s">
        <v>171</v>
      </c>
      <c r="C47" s="55">
        <f>59052747+1676942</f>
        <v>60729689</v>
      </c>
    </row>
    <row r="48" spans="1:3" ht="12" customHeight="1">
      <c r="A48" s="267" t="s">
        <v>119</v>
      </c>
      <c r="B48" s="7" t="s">
        <v>146</v>
      </c>
      <c r="C48" s="55">
        <f>176076922+1300000+635000-59900</f>
        <v>177952022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3215160</v>
      </c>
    </row>
    <row r="52" spans="1:3" s="276" customFormat="1" ht="12" customHeight="1">
      <c r="A52" s="267" t="s">
        <v>123</v>
      </c>
      <c r="B52" s="8" t="s">
        <v>191</v>
      </c>
      <c r="C52" s="53">
        <f>3155260+59900</f>
        <v>3215160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502549321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482">
        <v>115.8</v>
      </c>
    </row>
    <row r="60" spans="1:3" ht="13.5" thickBot="1">
      <c r="A60" s="131" t="s">
        <v>620</v>
      </c>
      <c r="B60" s="132"/>
      <c r="C60" s="85">
        <v>4</v>
      </c>
    </row>
    <row r="61" spans="1:3" ht="13.5" thickBot="1">
      <c r="A61" s="131" t="s">
        <v>623</v>
      </c>
      <c r="B61" s="132"/>
      <c r="C61" s="85">
        <v>32</v>
      </c>
    </row>
    <row r="62" spans="1:3" ht="13.5" thickBot="1">
      <c r="A62" s="746" t="s">
        <v>624</v>
      </c>
      <c r="B62" s="747"/>
      <c r="C62" s="8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11/2017.(III.30.)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 melléklet a ……/",LEFT(#REF!,4),". (….) önkormányzati rendelethez")</f>
        <v>#REF!</v>
      </c>
    </row>
    <row r="2" spans="1:3" s="272" customFormat="1" ht="36" customHeight="1">
      <c r="A2" s="229" t="s">
        <v>185</v>
      </c>
      <c r="B2" s="202" t="s">
        <v>609</v>
      </c>
      <c r="C2" s="216" t="s">
        <v>84</v>
      </c>
    </row>
    <row r="3" spans="1:3" s="272" customFormat="1" ht="24.75" thickBot="1">
      <c r="A3" s="265" t="s">
        <v>184</v>
      </c>
      <c r="B3" s="203" t="s">
        <v>365</v>
      </c>
      <c r="C3" s="217" t="s">
        <v>76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4175872</v>
      </c>
    </row>
    <row r="9" spans="1:3" s="218" customFormat="1" ht="12" customHeight="1">
      <c r="A9" s="266" t="s">
        <v>117</v>
      </c>
      <c r="B9" s="9" t="s">
        <v>241</v>
      </c>
      <c r="C9" s="207"/>
    </row>
    <row r="10" spans="1:3" s="218" customFormat="1" ht="12" customHeight="1">
      <c r="A10" s="267" t="s">
        <v>118</v>
      </c>
      <c r="B10" s="7" t="s">
        <v>242</v>
      </c>
      <c r="C10" s="163">
        <v>1416800</v>
      </c>
    </row>
    <row r="11" spans="1:3" s="218" customFormat="1" ht="12" customHeight="1">
      <c r="A11" s="267" t="s">
        <v>119</v>
      </c>
      <c r="B11" s="7" t="s">
        <v>243</v>
      </c>
      <c r="C11" s="163"/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1871280</v>
      </c>
    </row>
    <row r="14" spans="1:3" s="218" customFormat="1" ht="12" customHeight="1">
      <c r="A14" s="267" t="s">
        <v>121</v>
      </c>
      <c r="B14" s="7" t="s">
        <v>366</v>
      </c>
      <c r="C14" s="163">
        <v>887792</v>
      </c>
    </row>
    <row r="15" spans="1:3" s="218" customFormat="1" ht="12" customHeight="1">
      <c r="A15" s="267" t="s">
        <v>122</v>
      </c>
      <c r="B15" s="6" t="s">
        <v>367</v>
      </c>
      <c r="C15" s="163"/>
    </row>
    <row r="16" spans="1:3" s="218" customFormat="1" ht="12" customHeight="1">
      <c r="A16" s="267" t="s">
        <v>132</v>
      </c>
      <c r="B16" s="7" t="s">
        <v>248</v>
      </c>
      <c r="C16" s="208"/>
    </row>
    <row r="17" spans="1:3" s="275" customFormat="1" ht="12" customHeight="1">
      <c r="A17" s="267" t="s">
        <v>133</v>
      </c>
      <c r="B17" s="7" t="s">
        <v>249</v>
      </c>
      <c r="C17" s="163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4175872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70650340</v>
      </c>
    </row>
    <row r="38" spans="1:3" s="218" customFormat="1" ht="12" customHeight="1">
      <c r="A38" s="268" t="s">
        <v>376</v>
      </c>
      <c r="B38" s="269" t="s">
        <v>200</v>
      </c>
      <c r="C38" s="53">
        <v>66655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69071526+1512159</f>
        <v>70583685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74826212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74476212</v>
      </c>
    </row>
    <row r="46" spans="1:3" ht="12" customHeight="1">
      <c r="A46" s="267" t="s">
        <v>117</v>
      </c>
      <c r="B46" s="8" t="s">
        <v>72</v>
      </c>
      <c r="C46" s="53">
        <f>49257950+1239474</f>
        <v>50497424</v>
      </c>
    </row>
    <row r="47" spans="1:3" ht="12" customHeight="1">
      <c r="A47" s="267" t="s">
        <v>118</v>
      </c>
      <c r="B47" s="7" t="s">
        <v>171</v>
      </c>
      <c r="C47" s="55">
        <f>11047568+272685</f>
        <v>11320253</v>
      </c>
    </row>
    <row r="48" spans="1:3" ht="12" customHeight="1">
      <c r="A48" s="267" t="s">
        <v>119</v>
      </c>
      <c r="B48" s="7" t="s">
        <v>146</v>
      </c>
      <c r="C48" s="55">
        <v>12658535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350000</v>
      </c>
    </row>
    <row r="52" spans="1:3" s="276" customFormat="1" ht="12" customHeight="1">
      <c r="A52" s="267" t="s">
        <v>123</v>
      </c>
      <c r="B52" s="8" t="s">
        <v>191</v>
      </c>
      <c r="C52" s="53">
        <v>350000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74826212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85">
        <v>20</v>
      </c>
    </row>
    <row r="60" spans="1:3" ht="13.5" thickBot="1">
      <c r="A60" s="131" t="s">
        <v>187</v>
      </c>
      <c r="B60" s="13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11/2017.(III.30.)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I54" sqref="I54"/>
    </sheetView>
  </sheetViews>
  <sheetFormatPr defaultColWidth="9.375" defaultRowHeight="12.75"/>
  <cols>
    <col min="1" max="1" width="13.875" style="129" customWidth="1"/>
    <col min="2" max="2" width="79.125" style="130" customWidth="1"/>
    <col min="3" max="3" width="25.00390625" style="130" customWidth="1"/>
    <col min="4" max="16384" width="9.375" style="130" customWidth="1"/>
  </cols>
  <sheetData>
    <row r="1" spans="1:3" s="109" customFormat="1" ht="21" customHeight="1" thickBot="1">
      <c r="A1" s="108"/>
      <c r="B1" s="110"/>
      <c r="C1" s="271" t="e">
        <f>+CONCATENATE("9.3.1. melléklet a ……/",LEFT(#REF!,4),". (….) önkormányzati rendelethez")</f>
        <v>#REF!</v>
      </c>
    </row>
    <row r="2" spans="1:3" s="272" customFormat="1" ht="36" customHeight="1">
      <c r="A2" s="229" t="s">
        <v>185</v>
      </c>
      <c r="B2" s="202" t="s">
        <v>609</v>
      </c>
      <c r="C2" s="216" t="s">
        <v>84</v>
      </c>
    </row>
    <row r="3" spans="1:3" s="272" customFormat="1" ht="24.75" thickBot="1">
      <c r="A3" s="265" t="s">
        <v>184</v>
      </c>
      <c r="B3" s="203" t="s">
        <v>383</v>
      </c>
      <c r="C3" s="217" t="s">
        <v>83</v>
      </c>
    </row>
    <row r="4" spans="1:3" s="273" customFormat="1" ht="15.75" customHeight="1" thickBot="1">
      <c r="A4" s="112"/>
      <c r="B4" s="112"/>
      <c r="C4" s="113" t="s">
        <v>668</v>
      </c>
    </row>
    <row r="5" spans="1:3" ht="13.5" thickBot="1">
      <c r="A5" s="230" t="s">
        <v>186</v>
      </c>
      <c r="B5" s="114" t="s">
        <v>77</v>
      </c>
      <c r="C5" s="115" t="s">
        <v>78</v>
      </c>
    </row>
    <row r="6" spans="1:3" s="274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274" customFormat="1" ht="15.75" customHeight="1" thickBot="1">
      <c r="A7" s="116"/>
      <c r="B7" s="117" t="s">
        <v>79</v>
      </c>
      <c r="C7" s="118"/>
    </row>
    <row r="8" spans="1:3" s="218" customFormat="1" ht="12" customHeight="1" thickBot="1">
      <c r="A8" s="99" t="s">
        <v>41</v>
      </c>
      <c r="B8" s="119" t="s">
        <v>594</v>
      </c>
      <c r="C8" s="165">
        <f>SUM(C9:C19)</f>
        <v>4175872</v>
      </c>
    </row>
    <row r="9" spans="1:3" s="218" customFormat="1" ht="12" customHeight="1">
      <c r="A9" s="266" t="s">
        <v>117</v>
      </c>
      <c r="B9" s="9" t="s">
        <v>241</v>
      </c>
      <c r="C9" s="163"/>
    </row>
    <row r="10" spans="1:3" s="218" customFormat="1" ht="12" customHeight="1">
      <c r="A10" s="267" t="s">
        <v>118</v>
      </c>
      <c r="B10" s="7" t="s">
        <v>242</v>
      </c>
      <c r="C10" s="163">
        <v>1416800</v>
      </c>
    </row>
    <row r="11" spans="1:3" s="218" customFormat="1" ht="12" customHeight="1">
      <c r="A11" s="267" t="s">
        <v>119</v>
      </c>
      <c r="B11" s="7" t="s">
        <v>243</v>
      </c>
      <c r="C11" s="163"/>
    </row>
    <row r="12" spans="1:3" s="218" customFormat="1" ht="12" customHeight="1">
      <c r="A12" s="267" t="s">
        <v>120</v>
      </c>
      <c r="B12" s="7" t="s">
        <v>244</v>
      </c>
      <c r="C12" s="163"/>
    </row>
    <row r="13" spans="1:3" s="218" customFormat="1" ht="12" customHeight="1">
      <c r="A13" s="267" t="s">
        <v>147</v>
      </c>
      <c r="B13" s="7" t="s">
        <v>245</v>
      </c>
      <c r="C13" s="163">
        <v>1871280</v>
      </c>
    </row>
    <row r="14" spans="1:3" s="218" customFormat="1" ht="12" customHeight="1">
      <c r="A14" s="267" t="s">
        <v>121</v>
      </c>
      <c r="B14" s="7" t="s">
        <v>366</v>
      </c>
      <c r="C14" s="163">
        <v>887792</v>
      </c>
    </row>
    <row r="15" spans="1:3" s="218" customFormat="1" ht="12" customHeight="1">
      <c r="A15" s="267" t="s">
        <v>122</v>
      </c>
      <c r="B15" s="6" t="s">
        <v>367</v>
      </c>
      <c r="C15" s="208"/>
    </row>
    <row r="16" spans="1:3" s="218" customFormat="1" ht="12" customHeight="1">
      <c r="A16" s="267" t="s">
        <v>132</v>
      </c>
      <c r="B16" s="7" t="s">
        <v>248</v>
      </c>
      <c r="C16" s="163"/>
    </row>
    <row r="17" spans="1:3" s="275" customFormat="1" ht="12" customHeight="1">
      <c r="A17" s="267" t="s">
        <v>133</v>
      </c>
      <c r="B17" s="7" t="s">
        <v>249</v>
      </c>
      <c r="C17" s="164"/>
    </row>
    <row r="18" spans="1:3" s="275" customFormat="1" ht="12" customHeight="1">
      <c r="A18" s="267" t="s">
        <v>134</v>
      </c>
      <c r="B18" s="7" t="s">
        <v>521</v>
      </c>
      <c r="C18" s="164"/>
    </row>
    <row r="19" spans="1:3" s="275" customFormat="1" ht="12" customHeight="1" thickBot="1">
      <c r="A19" s="267" t="s">
        <v>135</v>
      </c>
      <c r="B19" s="6" t="s">
        <v>250</v>
      </c>
      <c r="C19" s="164"/>
    </row>
    <row r="20" spans="1:3" s="218" customFormat="1" ht="12" customHeight="1" thickBot="1">
      <c r="A20" s="99" t="s">
        <v>42</v>
      </c>
      <c r="B20" s="119" t="s">
        <v>368</v>
      </c>
      <c r="C20" s="165">
        <f>SUM(C21:C23)</f>
        <v>0</v>
      </c>
    </row>
    <row r="21" spans="1:3" s="275" customFormat="1" ht="12" customHeight="1">
      <c r="A21" s="267" t="s">
        <v>123</v>
      </c>
      <c r="B21" s="8" t="s">
        <v>218</v>
      </c>
      <c r="C21" s="163"/>
    </row>
    <row r="22" spans="1:3" s="275" customFormat="1" ht="12" customHeight="1">
      <c r="A22" s="267" t="s">
        <v>124</v>
      </c>
      <c r="B22" s="7" t="s">
        <v>369</v>
      </c>
      <c r="C22" s="163"/>
    </row>
    <row r="23" spans="1:3" s="275" customFormat="1" ht="12" customHeight="1">
      <c r="A23" s="267" t="s">
        <v>125</v>
      </c>
      <c r="B23" s="7" t="s">
        <v>370</v>
      </c>
      <c r="C23" s="163"/>
    </row>
    <row r="24" spans="1:3" s="275" customFormat="1" ht="12" customHeight="1" thickBot="1">
      <c r="A24" s="267" t="s">
        <v>126</v>
      </c>
      <c r="B24" s="7" t="s">
        <v>604</v>
      </c>
      <c r="C24" s="163"/>
    </row>
    <row r="25" spans="1:3" s="275" customFormat="1" ht="12" customHeight="1" thickBot="1">
      <c r="A25" s="102" t="s">
        <v>43</v>
      </c>
      <c r="B25" s="86" t="s">
        <v>162</v>
      </c>
      <c r="C25" s="192"/>
    </row>
    <row r="26" spans="1:3" s="275" customFormat="1" ht="12" customHeight="1" thickBot="1">
      <c r="A26" s="102" t="s">
        <v>44</v>
      </c>
      <c r="B26" s="86" t="s">
        <v>605</v>
      </c>
      <c r="C26" s="165">
        <f>+C27+C28</f>
        <v>0</v>
      </c>
    </row>
    <row r="27" spans="1:3" s="275" customFormat="1" ht="12" customHeight="1">
      <c r="A27" s="268" t="s">
        <v>228</v>
      </c>
      <c r="B27" s="269" t="s">
        <v>369</v>
      </c>
      <c r="C27" s="53"/>
    </row>
    <row r="28" spans="1:3" s="275" customFormat="1" ht="12" customHeight="1">
      <c r="A28" s="268" t="s">
        <v>231</v>
      </c>
      <c r="B28" s="270" t="s">
        <v>371</v>
      </c>
      <c r="C28" s="166"/>
    </row>
    <row r="29" spans="1:3" s="275" customFormat="1" ht="12" customHeight="1" thickBot="1">
      <c r="A29" s="267" t="s">
        <v>232</v>
      </c>
      <c r="B29" s="89" t="s">
        <v>606</v>
      </c>
      <c r="C29" s="56"/>
    </row>
    <row r="30" spans="1:3" s="275" customFormat="1" ht="12" customHeight="1" thickBot="1">
      <c r="A30" s="102" t="s">
        <v>45</v>
      </c>
      <c r="B30" s="86" t="s">
        <v>372</v>
      </c>
      <c r="C30" s="165">
        <f>+C31+C32+C33</f>
        <v>0</v>
      </c>
    </row>
    <row r="31" spans="1:3" s="275" customFormat="1" ht="12" customHeight="1">
      <c r="A31" s="268" t="s">
        <v>110</v>
      </c>
      <c r="B31" s="269" t="s">
        <v>255</v>
      </c>
      <c r="C31" s="53"/>
    </row>
    <row r="32" spans="1:3" s="275" customFormat="1" ht="12" customHeight="1">
      <c r="A32" s="268" t="s">
        <v>111</v>
      </c>
      <c r="B32" s="270" t="s">
        <v>256</v>
      </c>
      <c r="C32" s="166"/>
    </row>
    <row r="33" spans="1:3" s="275" customFormat="1" ht="12" customHeight="1" thickBot="1">
      <c r="A33" s="267" t="s">
        <v>112</v>
      </c>
      <c r="B33" s="89" t="s">
        <v>257</v>
      </c>
      <c r="C33" s="56"/>
    </row>
    <row r="34" spans="1:3" s="218" customFormat="1" ht="12" customHeight="1" thickBot="1">
      <c r="A34" s="102" t="s">
        <v>46</v>
      </c>
      <c r="B34" s="86" t="s">
        <v>343</v>
      </c>
      <c r="C34" s="192"/>
    </row>
    <row r="35" spans="1:3" s="218" customFormat="1" ht="12" customHeight="1" thickBot="1">
      <c r="A35" s="102" t="s">
        <v>47</v>
      </c>
      <c r="B35" s="86" t="s">
        <v>373</v>
      </c>
      <c r="C35" s="209"/>
    </row>
    <row r="36" spans="1:3" s="218" customFormat="1" ht="12" customHeight="1" thickBot="1">
      <c r="A36" s="99" t="s">
        <v>48</v>
      </c>
      <c r="B36" s="86" t="s">
        <v>607</v>
      </c>
      <c r="C36" s="210">
        <f>+C8+C20+C25+C26+C30+C34+C35</f>
        <v>4175872</v>
      </c>
    </row>
    <row r="37" spans="1:3" s="218" customFormat="1" ht="12" customHeight="1" thickBot="1">
      <c r="A37" s="120" t="s">
        <v>49</v>
      </c>
      <c r="B37" s="86" t="s">
        <v>375</v>
      </c>
      <c r="C37" s="210">
        <f>+C38+C39+C40</f>
        <v>70650340</v>
      </c>
    </row>
    <row r="38" spans="1:3" s="218" customFormat="1" ht="12" customHeight="1">
      <c r="A38" s="268" t="s">
        <v>376</v>
      </c>
      <c r="B38" s="269" t="s">
        <v>200</v>
      </c>
      <c r="C38" s="53">
        <v>66655</v>
      </c>
    </row>
    <row r="39" spans="1:3" s="218" customFormat="1" ht="12" customHeight="1">
      <c r="A39" s="268" t="s">
        <v>377</v>
      </c>
      <c r="B39" s="270" t="s">
        <v>31</v>
      </c>
      <c r="C39" s="166"/>
    </row>
    <row r="40" spans="1:3" s="275" customFormat="1" ht="12" customHeight="1" thickBot="1">
      <c r="A40" s="267" t="s">
        <v>378</v>
      </c>
      <c r="B40" s="89" t="s">
        <v>379</v>
      </c>
      <c r="C40" s="56">
        <f>69071526+1512159</f>
        <v>70583685</v>
      </c>
    </row>
    <row r="41" spans="1:3" s="275" customFormat="1" ht="15" customHeight="1" thickBot="1">
      <c r="A41" s="120" t="s">
        <v>50</v>
      </c>
      <c r="B41" s="121" t="s">
        <v>380</v>
      </c>
      <c r="C41" s="213">
        <f>+C36+C37</f>
        <v>74826212</v>
      </c>
    </row>
    <row r="42" spans="1:3" s="275" customFormat="1" ht="15" customHeight="1">
      <c r="A42" s="122"/>
      <c r="B42" s="123"/>
      <c r="C42" s="211"/>
    </row>
    <row r="43" spans="1:3" ht="13.5" thickBot="1">
      <c r="A43" s="124"/>
      <c r="B43" s="125"/>
      <c r="C43" s="212"/>
    </row>
    <row r="44" spans="1:3" s="274" customFormat="1" ht="16.5" customHeight="1" thickBot="1">
      <c r="A44" s="126"/>
      <c r="B44" s="127" t="s">
        <v>80</v>
      </c>
      <c r="C44" s="213"/>
    </row>
    <row r="45" spans="1:3" s="276" customFormat="1" ht="12" customHeight="1" thickBot="1">
      <c r="A45" s="102" t="s">
        <v>41</v>
      </c>
      <c r="B45" s="86" t="s">
        <v>381</v>
      </c>
      <c r="C45" s="165">
        <f>SUM(C46:C50)</f>
        <v>74476212</v>
      </c>
    </row>
    <row r="46" spans="1:3" ht="12" customHeight="1">
      <c r="A46" s="267" t="s">
        <v>117</v>
      </c>
      <c r="B46" s="8" t="s">
        <v>72</v>
      </c>
      <c r="C46" s="53">
        <f>49257950+1239474</f>
        <v>50497424</v>
      </c>
    </row>
    <row r="47" spans="1:3" ht="12" customHeight="1">
      <c r="A47" s="267" t="s">
        <v>118</v>
      </c>
      <c r="B47" s="7" t="s">
        <v>171</v>
      </c>
      <c r="C47" s="55">
        <f>11047568+272685</f>
        <v>11320253</v>
      </c>
    </row>
    <row r="48" spans="1:3" ht="12" customHeight="1">
      <c r="A48" s="267" t="s">
        <v>119</v>
      </c>
      <c r="B48" s="7" t="s">
        <v>146</v>
      </c>
      <c r="C48" s="55">
        <v>12658535</v>
      </c>
    </row>
    <row r="49" spans="1:3" ht="12" customHeight="1">
      <c r="A49" s="267" t="s">
        <v>120</v>
      </c>
      <c r="B49" s="7" t="s">
        <v>172</v>
      </c>
      <c r="C49" s="55"/>
    </row>
    <row r="50" spans="1:3" ht="12" customHeight="1" thickBot="1">
      <c r="A50" s="267" t="s">
        <v>147</v>
      </c>
      <c r="B50" s="7" t="s">
        <v>173</v>
      </c>
      <c r="C50" s="55"/>
    </row>
    <row r="51" spans="1:3" ht="12" customHeight="1" thickBot="1">
      <c r="A51" s="102" t="s">
        <v>42</v>
      </c>
      <c r="B51" s="86" t="s">
        <v>382</v>
      </c>
      <c r="C51" s="165">
        <f>SUM(C52:C54)</f>
        <v>350000</v>
      </c>
    </row>
    <row r="52" spans="1:3" s="276" customFormat="1" ht="12" customHeight="1">
      <c r="A52" s="267" t="s">
        <v>123</v>
      </c>
      <c r="B52" s="8" t="s">
        <v>191</v>
      </c>
      <c r="C52" s="53">
        <v>350000</v>
      </c>
    </row>
    <row r="53" spans="1:3" ht="12" customHeight="1">
      <c r="A53" s="267" t="s">
        <v>124</v>
      </c>
      <c r="B53" s="7" t="s">
        <v>175</v>
      </c>
      <c r="C53" s="55"/>
    </row>
    <row r="54" spans="1:3" ht="12" customHeight="1">
      <c r="A54" s="267" t="s">
        <v>125</v>
      </c>
      <c r="B54" s="7" t="s">
        <v>81</v>
      </c>
      <c r="C54" s="55"/>
    </row>
    <row r="55" spans="1:3" ht="12" customHeight="1" thickBot="1">
      <c r="A55" s="267" t="s">
        <v>126</v>
      </c>
      <c r="B55" s="7" t="s">
        <v>598</v>
      </c>
      <c r="C55" s="55"/>
    </row>
    <row r="56" spans="1:3" ht="15" customHeight="1" thickBot="1">
      <c r="A56" s="102" t="s">
        <v>43</v>
      </c>
      <c r="B56" s="86" t="s">
        <v>35</v>
      </c>
      <c r="C56" s="192"/>
    </row>
    <row r="57" spans="1:3" ht="13.5" thickBot="1">
      <c r="A57" s="102" t="s">
        <v>44</v>
      </c>
      <c r="B57" s="128" t="s">
        <v>599</v>
      </c>
      <c r="C57" s="214">
        <f>+C45+C51+C56</f>
        <v>74826212</v>
      </c>
    </row>
    <row r="58" ht="15" customHeight="1" thickBot="1">
      <c r="C58" s="215"/>
    </row>
    <row r="59" spans="1:3" ht="14.25" customHeight="1" thickBot="1">
      <c r="A59" s="131" t="s">
        <v>591</v>
      </c>
      <c r="B59" s="132"/>
      <c r="C59" s="85">
        <v>20</v>
      </c>
    </row>
    <row r="60" spans="1:3" ht="13.5" thickBot="1">
      <c r="A60" s="131" t="s">
        <v>187</v>
      </c>
      <c r="B60" s="13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11/2017.(III.30.)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23" sqref="F23"/>
    </sheetView>
  </sheetViews>
  <sheetFormatPr defaultColWidth="10.625" defaultRowHeight="12.75"/>
  <cols>
    <col min="1" max="1" width="29.125" style="330" bestFit="1" customWidth="1"/>
    <col min="2" max="2" width="11.125" style="330" bestFit="1" customWidth="1"/>
    <col min="3" max="4" width="12.625" style="330" bestFit="1" customWidth="1"/>
    <col min="5" max="5" width="11.375" style="330" customWidth="1"/>
    <col min="6" max="7" width="11.125" style="330" bestFit="1" customWidth="1"/>
    <col min="8" max="8" width="11.00390625" style="330" customWidth="1"/>
    <col min="9" max="9" width="10.125" style="330" bestFit="1" customWidth="1"/>
    <col min="10" max="10" width="12.625" style="330" bestFit="1" customWidth="1"/>
    <col min="11" max="16384" width="10.625" style="330" customWidth="1"/>
  </cols>
  <sheetData>
    <row r="1" spans="1:10" ht="12.75">
      <c r="A1" s="328"/>
      <c r="B1" s="328"/>
      <c r="C1" s="328"/>
      <c r="D1" s="328"/>
      <c r="E1" s="328"/>
      <c r="F1" s="328"/>
      <c r="H1" s="331"/>
      <c r="I1" s="331"/>
      <c r="J1" s="329"/>
    </row>
    <row r="2" spans="1:10" ht="12.75">
      <c r="A2" s="328"/>
      <c r="B2" s="328"/>
      <c r="C2" s="328"/>
      <c r="D2" s="328"/>
      <c r="E2" s="328"/>
      <c r="F2" s="328"/>
      <c r="G2" s="332"/>
      <c r="H2" s="332"/>
      <c r="I2" s="332"/>
      <c r="J2" s="333"/>
    </row>
    <row r="3" spans="1:10" ht="12.75">
      <c r="A3" s="328"/>
      <c r="B3" s="328"/>
      <c r="C3" s="328"/>
      <c r="D3" s="328"/>
      <c r="E3" s="328"/>
      <c r="F3" s="328"/>
      <c r="G3" s="332"/>
      <c r="H3" s="332"/>
      <c r="I3" s="332"/>
      <c r="J3" s="332"/>
    </row>
    <row r="4" spans="1:10" ht="19.5">
      <c r="A4" s="335" t="s">
        <v>414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9.5">
      <c r="A5" s="335" t="s">
        <v>657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3.5" thickBot="1">
      <c r="A6" s="328"/>
      <c r="B6" s="328"/>
      <c r="C6" s="328"/>
      <c r="D6" s="328"/>
      <c r="E6" s="328"/>
      <c r="F6" s="328"/>
      <c r="G6" s="328"/>
      <c r="H6" s="328"/>
      <c r="I6" s="328"/>
      <c r="J6" s="710" t="s">
        <v>15</v>
      </c>
    </row>
    <row r="7" spans="1:10" ht="15.75" customHeight="1">
      <c r="A7" s="751" t="s">
        <v>3</v>
      </c>
      <c r="B7" s="748" t="s">
        <v>415</v>
      </c>
      <c r="C7" s="749"/>
      <c r="D7" s="749"/>
      <c r="E7" s="748" t="s">
        <v>416</v>
      </c>
      <c r="F7" s="749"/>
      <c r="G7" s="749"/>
      <c r="H7" s="749"/>
      <c r="I7" s="749"/>
      <c r="J7" s="750"/>
    </row>
    <row r="8" spans="1:10" ht="15.75" customHeight="1">
      <c r="A8" s="752"/>
      <c r="B8" s="711" t="s">
        <v>417</v>
      </c>
      <c r="C8" s="711" t="s">
        <v>418</v>
      </c>
      <c r="D8" s="711" t="s">
        <v>419</v>
      </c>
      <c r="E8" s="711" t="s">
        <v>420</v>
      </c>
      <c r="F8" s="711" t="s">
        <v>421</v>
      </c>
      <c r="G8" s="711" t="s">
        <v>422</v>
      </c>
      <c r="H8" s="711" t="s">
        <v>423</v>
      </c>
      <c r="I8" s="711" t="s">
        <v>424</v>
      </c>
      <c r="J8" s="712" t="s">
        <v>419</v>
      </c>
    </row>
    <row r="9" spans="1:10" ht="15.75" customHeight="1">
      <c r="A9" s="753"/>
      <c r="B9" s="711" t="s">
        <v>425</v>
      </c>
      <c r="C9" s="711" t="s">
        <v>426</v>
      </c>
      <c r="D9" s="711" t="s">
        <v>427</v>
      </c>
      <c r="E9" s="711" t="s">
        <v>428</v>
      </c>
      <c r="F9" s="711" t="s">
        <v>429</v>
      </c>
      <c r="G9" s="711" t="s">
        <v>430</v>
      </c>
      <c r="H9" s="711" t="s">
        <v>431</v>
      </c>
      <c r="I9" s="711" t="s">
        <v>430</v>
      </c>
      <c r="J9" s="712" t="s">
        <v>432</v>
      </c>
    </row>
    <row r="10" spans="1:11" ht="15.75" customHeight="1">
      <c r="A10" s="713" t="s">
        <v>433</v>
      </c>
      <c r="B10" s="490">
        <v>163050202</v>
      </c>
      <c r="C10" s="490">
        <f aca="true" t="shared" si="0" ref="C10:C15">J10-B10</f>
        <v>202385286</v>
      </c>
      <c r="D10" s="714">
        <f aca="true" t="shared" si="1" ref="D10:D15">SUM(B10:C10)</f>
        <v>365435488</v>
      </c>
      <c r="E10" s="490">
        <v>81328328</v>
      </c>
      <c r="F10" s="490">
        <v>20074352</v>
      </c>
      <c r="G10" s="490">
        <v>262391117</v>
      </c>
      <c r="H10" s="490"/>
      <c r="I10" s="490">
        <v>1641691</v>
      </c>
      <c r="J10" s="715">
        <f aca="true" t="shared" si="2" ref="J10:J15">SUM(E10:I10)</f>
        <v>365435488</v>
      </c>
      <c r="K10" s="345"/>
    </row>
    <row r="11" spans="1:10" ht="15.75" customHeight="1">
      <c r="A11" s="713" t="s">
        <v>434</v>
      </c>
      <c r="B11" s="490">
        <v>12252423</v>
      </c>
      <c r="C11" s="490">
        <f t="shared" si="0"/>
        <v>275338975</v>
      </c>
      <c r="D11" s="714">
        <f t="shared" si="1"/>
        <v>287591398</v>
      </c>
      <c r="E11" s="490">
        <v>175711001</v>
      </c>
      <c r="F11" s="490">
        <v>41990053</v>
      </c>
      <c r="G11" s="490">
        <v>68610269</v>
      </c>
      <c r="H11" s="490"/>
      <c r="I11" s="490">
        <v>1280075</v>
      </c>
      <c r="J11" s="715">
        <f t="shared" si="2"/>
        <v>287591398</v>
      </c>
    </row>
    <row r="12" spans="1:10" ht="15.75" customHeight="1">
      <c r="A12" s="713" t="s">
        <v>697</v>
      </c>
      <c r="B12" s="490">
        <v>15823576</v>
      </c>
      <c r="C12" s="490">
        <f t="shared" si="0"/>
        <v>79747984</v>
      </c>
      <c r="D12" s="714">
        <f t="shared" si="1"/>
        <v>95571560</v>
      </c>
      <c r="E12" s="490">
        <v>41685275</v>
      </c>
      <c r="F12" s="490">
        <v>9624930</v>
      </c>
      <c r="G12" s="490">
        <v>41615701</v>
      </c>
      <c r="H12" s="490"/>
      <c r="I12" s="490">
        <v>2645654</v>
      </c>
      <c r="J12" s="715">
        <f t="shared" si="2"/>
        <v>95571560</v>
      </c>
    </row>
    <row r="13" spans="1:10" s="345" customFormat="1" ht="18" customHeight="1">
      <c r="A13" s="716" t="s">
        <v>646</v>
      </c>
      <c r="B13" s="717">
        <v>203175038</v>
      </c>
      <c r="C13" s="490">
        <f t="shared" si="0"/>
        <v>383236751</v>
      </c>
      <c r="D13" s="714">
        <f t="shared" si="1"/>
        <v>586411789</v>
      </c>
      <c r="E13" s="355">
        <v>319870685</v>
      </c>
      <c r="F13" s="355">
        <v>73973204</v>
      </c>
      <c r="G13" s="355">
        <v>189287740</v>
      </c>
      <c r="H13" s="355"/>
      <c r="I13" s="355">
        <v>3280160</v>
      </c>
      <c r="J13" s="718">
        <f t="shared" si="2"/>
        <v>586411789</v>
      </c>
    </row>
    <row r="14" spans="1:10" s="345" customFormat="1" ht="18" customHeight="1">
      <c r="A14" s="716" t="s">
        <v>609</v>
      </c>
      <c r="B14" s="717">
        <v>4242527</v>
      </c>
      <c r="C14" s="490">
        <f t="shared" si="0"/>
        <v>70583685</v>
      </c>
      <c r="D14" s="714">
        <f t="shared" si="1"/>
        <v>74826212</v>
      </c>
      <c r="E14" s="355">
        <v>50497424</v>
      </c>
      <c r="F14" s="355">
        <v>11320253</v>
      </c>
      <c r="G14" s="355">
        <v>12658535</v>
      </c>
      <c r="H14" s="355"/>
      <c r="I14" s="355">
        <v>350000</v>
      </c>
      <c r="J14" s="718">
        <f t="shared" si="2"/>
        <v>74826212</v>
      </c>
    </row>
    <row r="15" spans="1:10" s="345" customFormat="1" ht="18" customHeight="1">
      <c r="A15" s="716" t="s">
        <v>647</v>
      </c>
      <c r="B15" s="717">
        <v>9863904</v>
      </c>
      <c r="C15" s="490">
        <f t="shared" si="0"/>
        <v>215713146</v>
      </c>
      <c r="D15" s="714">
        <f t="shared" si="1"/>
        <v>225577050</v>
      </c>
      <c r="E15" s="355">
        <f>119212000-24000</f>
        <v>119188000</v>
      </c>
      <c r="F15" s="355">
        <f>28323500-10800</f>
        <v>28312700</v>
      </c>
      <c r="G15" s="355">
        <f>52037350-171000+59000</f>
        <v>51925350</v>
      </c>
      <c r="H15" s="355">
        <v>24250000</v>
      </c>
      <c r="I15" s="355">
        <v>1901000</v>
      </c>
      <c r="J15" s="718">
        <f t="shared" si="2"/>
        <v>225577050</v>
      </c>
    </row>
    <row r="16" spans="1:10" s="345" customFormat="1" ht="18" customHeight="1" thickBot="1">
      <c r="A16" s="719" t="s">
        <v>435</v>
      </c>
      <c r="B16" s="720">
        <f aca="true" t="shared" si="3" ref="B16:J16">SUM(B10:B15)</f>
        <v>408407670</v>
      </c>
      <c r="C16" s="720">
        <f t="shared" si="3"/>
        <v>1227005827</v>
      </c>
      <c r="D16" s="720">
        <f t="shared" si="3"/>
        <v>1635413497</v>
      </c>
      <c r="E16" s="720">
        <f t="shared" si="3"/>
        <v>788280713</v>
      </c>
      <c r="F16" s="720">
        <f t="shared" si="3"/>
        <v>185295492</v>
      </c>
      <c r="G16" s="720">
        <f t="shared" si="3"/>
        <v>626488712</v>
      </c>
      <c r="H16" s="720">
        <f t="shared" si="3"/>
        <v>24250000</v>
      </c>
      <c r="I16" s="720">
        <f t="shared" si="3"/>
        <v>11098580</v>
      </c>
      <c r="J16" s="721">
        <f t="shared" si="3"/>
        <v>1635413497</v>
      </c>
    </row>
    <row r="17" spans="3:10" ht="12.75">
      <c r="C17" s="722"/>
      <c r="E17" s="722"/>
      <c r="F17" s="722"/>
      <c r="G17" s="722"/>
      <c r="H17" s="722"/>
      <c r="I17" s="722"/>
      <c r="J17" s="722"/>
    </row>
    <row r="25" ht="12.75">
      <c r="J25" s="445"/>
    </row>
  </sheetData>
  <sheetProtection/>
  <mergeCells count="3">
    <mergeCell ref="B7:D7"/>
    <mergeCell ref="E7:J7"/>
    <mergeCell ref="A7:A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 11/2017.(III.30.)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4"/>
  <dimension ref="D1:G27"/>
  <sheetViews>
    <sheetView workbookViewId="0" topLeftCell="D7">
      <selection activeCell="E12" sqref="E12"/>
    </sheetView>
  </sheetViews>
  <sheetFormatPr defaultColWidth="10.625" defaultRowHeight="12.75"/>
  <cols>
    <col min="1" max="2" width="9.375" style="330" hidden="1" customWidth="1"/>
    <col min="3" max="3" width="58.125" style="330" hidden="1" customWidth="1"/>
    <col min="4" max="4" width="55.00390625" style="330" customWidth="1"/>
    <col min="5" max="5" width="14.375" style="330" customWidth="1"/>
    <col min="6" max="6" width="9.625" style="330" customWidth="1"/>
    <col min="7" max="7" width="10.625" style="330" customWidth="1"/>
    <col min="8" max="16384" width="10.625" style="330" customWidth="1"/>
  </cols>
  <sheetData>
    <row r="1" spans="4:7" ht="12.75">
      <c r="D1" s="328"/>
      <c r="E1" s="329"/>
      <c r="F1" s="328"/>
      <c r="G1" s="328"/>
    </row>
    <row r="2" spans="4:7" ht="12.75">
      <c r="D2" s="328"/>
      <c r="E2" s="756"/>
      <c r="F2" s="756"/>
      <c r="G2" s="328"/>
    </row>
    <row r="3" spans="4:7" ht="12.75">
      <c r="D3" s="328"/>
      <c r="E3" s="328"/>
      <c r="F3" s="328"/>
      <c r="G3" s="328"/>
    </row>
    <row r="4" spans="4:7" ht="19.5">
      <c r="D4" s="334" t="s">
        <v>404</v>
      </c>
      <c r="E4" s="335"/>
      <c r="F4" s="335"/>
      <c r="G4" s="335"/>
    </row>
    <row r="5" spans="4:7" ht="19.5">
      <c r="D5" s="335"/>
      <c r="E5" s="335"/>
      <c r="F5" s="335"/>
      <c r="G5" s="335"/>
    </row>
    <row r="6" spans="4:7" ht="13.5" thickBot="1">
      <c r="D6" s="328"/>
      <c r="E6" s="336"/>
      <c r="F6" s="328"/>
      <c r="G6" s="328"/>
    </row>
    <row r="7" spans="4:7" ht="15.75" customHeight="1">
      <c r="D7" s="337"/>
      <c r="E7" s="754" t="s">
        <v>405</v>
      </c>
      <c r="F7" s="338"/>
      <c r="G7" s="339"/>
    </row>
    <row r="8" spans="4:7" ht="15.75" customHeight="1">
      <c r="D8" s="341" t="s">
        <v>406</v>
      </c>
      <c r="E8" s="755"/>
      <c r="F8" s="340"/>
      <c r="G8" s="340"/>
    </row>
    <row r="9" spans="4:7" ht="15.75" customHeight="1" thickBot="1">
      <c r="D9" s="342" t="s">
        <v>407</v>
      </c>
      <c r="E9" s="440"/>
      <c r="F9" s="340"/>
      <c r="G9" s="340"/>
    </row>
    <row r="10" spans="4:7" s="345" customFormat="1" ht="18" customHeight="1">
      <c r="D10" s="343" t="s">
        <v>408</v>
      </c>
      <c r="E10" s="366">
        <v>40</v>
      </c>
      <c r="F10" s="344"/>
      <c r="G10" s="344"/>
    </row>
    <row r="11" spans="4:7" s="345" customFormat="1" ht="18" customHeight="1">
      <c r="D11" s="343" t="s">
        <v>467</v>
      </c>
      <c r="E11" s="366"/>
      <c r="F11" s="344"/>
      <c r="G11" s="344"/>
    </row>
    <row r="12" spans="4:7" s="345" customFormat="1" ht="18" customHeight="1">
      <c r="D12" s="346" t="s">
        <v>409</v>
      </c>
      <c r="E12" s="356">
        <v>54</v>
      </c>
      <c r="F12" s="347"/>
      <c r="G12" s="344"/>
    </row>
    <row r="13" spans="4:7" s="345" customFormat="1" ht="18" customHeight="1">
      <c r="D13" s="348" t="s">
        <v>12</v>
      </c>
      <c r="E13" s="477">
        <v>17.75</v>
      </c>
      <c r="F13" s="344"/>
      <c r="G13" s="344"/>
    </row>
    <row r="14" spans="4:7" s="345" customFormat="1" ht="18" customHeight="1">
      <c r="D14" s="349" t="s">
        <v>410</v>
      </c>
      <c r="E14" s="365">
        <v>20</v>
      </c>
      <c r="F14" s="347"/>
      <c r="G14" s="344"/>
    </row>
    <row r="15" spans="4:7" s="345" customFormat="1" ht="18" customHeight="1">
      <c r="D15" s="349" t="s">
        <v>466</v>
      </c>
      <c r="E15" s="365"/>
      <c r="F15" s="347"/>
      <c r="G15" s="344"/>
    </row>
    <row r="16" spans="4:7" s="345" customFormat="1" ht="18" customHeight="1">
      <c r="D16" s="349" t="s">
        <v>640</v>
      </c>
      <c r="E16" s="365">
        <v>142.8</v>
      </c>
      <c r="F16" s="347"/>
      <c r="G16" s="344"/>
    </row>
    <row r="17" spans="4:7" s="345" customFormat="1" ht="18" customHeight="1">
      <c r="D17" s="349" t="s">
        <v>641</v>
      </c>
      <c r="E17" s="365">
        <v>4</v>
      </c>
      <c r="F17" s="347"/>
      <c r="G17" s="344"/>
    </row>
    <row r="18" spans="4:7" s="345" customFormat="1" ht="18" customHeight="1">
      <c r="D18" s="513" t="s">
        <v>643</v>
      </c>
      <c r="E18" s="365">
        <v>32</v>
      </c>
      <c r="F18" s="347"/>
      <c r="G18" s="344"/>
    </row>
    <row r="19" spans="4:7" s="345" customFormat="1" ht="18" customHeight="1">
      <c r="D19" s="513" t="s">
        <v>642</v>
      </c>
      <c r="E19" s="365">
        <v>5</v>
      </c>
      <c r="F19" s="347"/>
      <c r="G19" s="344"/>
    </row>
    <row r="20" spans="4:7" s="328" customFormat="1" ht="13.5" thickBot="1">
      <c r="D20" s="538" t="s">
        <v>647</v>
      </c>
      <c r="E20" s="350">
        <v>44</v>
      </c>
      <c r="F20" s="351"/>
      <c r="G20" s="351"/>
    </row>
    <row r="21" spans="4:7" s="328" customFormat="1" ht="13.5" thickBot="1">
      <c r="D21" s="352" t="s">
        <v>411</v>
      </c>
      <c r="E21" s="460">
        <f>SUM(E10:E20)</f>
        <v>359.55</v>
      </c>
      <c r="F21" s="353"/>
      <c r="G21" s="353"/>
    </row>
    <row r="22" spans="4:7" s="328" customFormat="1" ht="13.5" thickBot="1">
      <c r="D22" s="436" t="s">
        <v>621</v>
      </c>
      <c r="E22" s="460">
        <f>E10+E12+E13+E14+E16+E20</f>
        <v>318.55</v>
      </c>
      <c r="F22" s="353"/>
      <c r="G22" s="353"/>
    </row>
    <row r="23" spans="4:7" s="328" customFormat="1" ht="12.75">
      <c r="D23" s="437" t="s">
        <v>188</v>
      </c>
      <c r="E23" s="690">
        <v>3</v>
      </c>
      <c r="F23" s="353"/>
      <c r="G23" s="353"/>
    </row>
    <row r="24" spans="4:7" s="328" customFormat="1" ht="12.75">
      <c r="D24" s="438" t="s">
        <v>412</v>
      </c>
      <c r="E24" s="484">
        <v>754</v>
      </c>
      <c r="F24" s="344"/>
      <c r="G24" s="344"/>
    </row>
    <row r="25" spans="4:7" s="328" customFormat="1" ht="12.75">
      <c r="D25" s="438" t="s">
        <v>13</v>
      </c>
      <c r="E25" s="484">
        <v>7</v>
      </c>
      <c r="F25" s="344"/>
      <c r="G25" s="344"/>
    </row>
    <row r="26" spans="4:7" s="328" customFormat="1" ht="13.5" thickBot="1">
      <c r="D26" s="354" t="s">
        <v>413</v>
      </c>
      <c r="E26" s="461">
        <f>SUM(E22:E25)</f>
        <v>1082.55</v>
      </c>
      <c r="F26" s="353"/>
      <c r="G26" s="353"/>
    </row>
    <row r="27" spans="4:5" ht="13.5" thickBot="1">
      <c r="D27" s="439" t="s">
        <v>507</v>
      </c>
      <c r="E27" s="462">
        <f>E22+E23</f>
        <v>321.55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&amp;R27. melléklet a 11/2017.(III.30.)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2"/>
  <sheetViews>
    <sheetView workbookViewId="0" topLeftCell="A10">
      <selection activeCell="B21" sqref="B21"/>
    </sheetView>
  </sheetViews>
  <sheetFormatPr defaultColWidth="10.625" defaultRowHeight="12.75"/>
  <cols>
    <col min="1" max="1" width="10.00390625" style="287" customWidth="1"/>
    <col min="2" max="2" width="37.375" style="287" customWidth="1"/>
    <col min="3" max="3" width="24.875" style="287" customWidth="1"/>
    <col min="4" max="4" width="22.625" style="287" customWidth="1"/>
    <col min="5" max="5" width="11.625" style="287" bestFit="1" customWidth="1"/>
    <col min="6" max="16384" width="10.625" style="287" customWidth="1"/>
  </cols>
  <sheetData>
    <row r="1" spans="1:4" ht="15.75">
      <c r="A1" s="285"/>
      <c r="B1" s="285"/>
      <c r="C1" s="285"/>
      <c r="D1" s="286"/>
    </row>
    <row r="2" spans="1:4" ht="15.75">
      <c r="A2" s="285"/>
      <c r="B2" s="285"/>
      <c r="C2" s="285"/>
      <c r="D2" s="288"/>
    </row>
    <row r="3" spans="1:4" ht="15.75">
      <c r="A3" s="285"/>
      <c r="B3" s="285"/>
      <c r="C3" s="285"/>
      <c r="D3" s="286"/>
    </row>
    <row r="4" spans="1:4" ht="15.75">
      <c r="A4" s="285"/>
      <c r="B4" s="285"/>
      <c r="C4" s="285"/>
      <c r="D4" s="289"/>
    </row>
    <row r="5" spans="1:4" ht="15.75">
      <c r="A5" s="285"/>
      <c r="B5" s="285"/>
      <c r="C5" s="285"/>
      <c r="D5" s="289"/>
    </row>
    <row r="6" spans="1:4" ht="15.75">
      <c r="A6" s="285"/>
      <c r="B6" s="285"/>
      <c r="C6" s="285"/>
      <c r="D6" s="290"/>
    </row>
    <row r="7" spans="1:4" ht="19.5">
      <c r="A7" s="291" t="s">
        <v>398</v>
      </c>
      <c r="B7" s="291"/>
      <c r="C7" s="291"/>
      <c r="D7" s="292"/>
    </row>
    <row r="8" spans="1:4" ht="19.5">
      <c r="A8" s="291" t="s">
        <v>658</v>
      </c>
      <c r="B8" s="291"/>
      <c r="C8" s="291"/>
      <c r="D8" s="292"/>
    </row>
    <row r="9" spans="1:4" ht="19.5">
      <c r="A9" s="291"/>
      <c r="B9" s="291"/>
      <c r="C9" s="291"/>
      <c r="D9" s="292"/>
    </row>
    <row r="10" spans="1:4" ht="19.5">
      <c r="A10" s="291"/>
      <c r="B10" s="291"/>
      <c r="C10" s="291"/>
      <c r="D10" s="292"/>
    </row>
    <row r="11" spans="1:4" ht="19.5">
      <c r="A11" s="291"/>
      <c r="B11" s="291"/>
      <c r="C11" s="291"/>
      <c r="D11" s="292"/>
    </row>
    <row r="12" spans="1:4" ht="19.5">
      <c r="A12" s="291"/>
      <c r="B12" s="291"/>
      <c r="C12" s="291"/>
      <c r="D12" s="292"/>
    </row>
    <row r="13" spans="1:4" ht="16.5" thickBot="1">
      <c r="A13" s="285"/>
      <c r="B13" s="285"/>
      <c r="C13" s="285"/>
      <c r="D13" s="293" t="s">
        <v>15</v>
      </c>
    </row>
    <row r="14" spans="1:4" s="298" customFormat="1" ht="33" customHeight="1" thickBot="1">
      <c r="A14" s="294" t="s">
        <v>85</v>
      </c>
      <c r="B14" s="295"/>
      <c r="C14" s="296"/>
      <c r="D14" s="297" t="s">
        <v>78</v>
      </c>
    </row>
    <row r="15" spans="1:6" ht="15.75">
      <c r="A15" s="299" t="s">
        <v>82</v>
      </c>
      <c r="B15" s="300"/>
      <c r="C15" s="301"/>
      <c r="D15" s="520">
        <v>10827687</v>
      </c>
      <c r="E15" s="302"/>
      <c r="F15" s="303"/>
    </row>
    <row r="16" spans="1:6" ht="15.75">
      <c r="A16" s="304" t="s">
        <v>400</v>
      </c>
      <c r="B16" s="305"/>
      <c r="C16" s="306"/>
      <c r="D16" s="307"/>
      <c r="E16" s="303"/>
      <c r="F16" s="303"/>
    </row>
    <row r="17" spans="1:6" ht="12.75">
      <c r="A17" s="541" t="s">
        <v>16</v>
      </c>
      <c r="B17" s="309"/>
      <c r="C17" s="310"/>
      <c r="D17" s="311">
        <v>178000</v>
      </c>
      <c r="E17" s="312"/>
      <c r="F17" s="313"/>
    </row>
    <row r="18" spans="1:6" ht="12.75">
      <c r="A18" s="308" t="s">
        <v>401</v>
      </c>
      <c r="B18" s="309"/>
      <c r="C18" s="310"/>
      <c r="D18" s="311">
        <v>14510000</v>
      </c>
      <c r="E18" s="314"/>
      <c r="F18" s="313"/>
    </row>
    <row r="19" spans="1:6" ht="12.75">
      <c r="A19" s="308" t="s">
        <v>19</v>
      </c>
      <c r="B19" s="309"/>
      <c r="C19" s="310"/>
      <c r="D19" s="311">
        <v>5200000</v>
      </c>
      <c r="E19" s="314"/>
      <c r="F19" s="313"/>
    </row>
    <row r="20" spans="1:6" ht="12.75">
      <c r="A20" s="315" t="s">
        <v>746</v>
      </c>
      <c r="B20" s="309"/>
      <c r="C20" s="310"/>
      <c r="D20" s="311">
        <f>23645000-3500000-1600000</f>
        <v>18545000</v>
      </c>
      <c r="E20" s="314"/>
      <c r="F20" s="316"/>
    </row>
    <row r="21" spans="1:6" ht="12.75">
      <c r="A21" s="308" t="s">
        <v>603</v>
      </c>
      <c r="B21" s="309"/>
      <c r="C21" s="310"/>
      <c r="D21" s="311">
        <v>1005000</v>
      </c>
      <c r="E21" s="314"/>
      <c r="F21" s="316"/>
    </row>
    <row r="22" spans="1:6" ht="12.75">
      <c r="A22" s="308" t="s">
        <v>698</v>
      </c>
      <c r="B22" s="309"/>
      <c r="C22" s="310"/>
      <c r="D22" s="311">
        <v>4075000</v>
      </c>
      <c r="E22" s="314"/>
      <c r="F22" s="316"/>
    </row>
    <row r="23" spans="1:6" ht="12.75">
      <c r="A23" s="317" t="s">
        <v>436</v>
      </c>
      <c r="B23" s="318"/>
      <c r="C23" s="310"/>
      <c r="D23" s="311">
        <v>38420000</v>
      </c>
      <c r="E23" s="314"/>
      <c r="F23" s="313"/>
    </row>
    <row r="24" spans="1:6" ht="12.75">
      <c r="A24" s="317" t="s">
        <v>17</v>
      </c>
      <c r="B24" s="319"/>
      <c r="C24" s="320"/>
      <c r="D24" s="311">
        <v>200000</v>
      </c>
      <c r="E24" s="314"/>
      <c r="F24" s="313"/>
    </row>
    <row r="25" spans="1:6" ht="12.75">
      <c r="A25" s="757" t="s">
        <v>632</v>
      </c>
      <c r="B25" s="758"/>
      <c r="C25" s="310"/>
      <c r="D25" s="311">
        <v>304000</v>
      </c>
      <c r="E25" s="314"/>
      <c r="F25" s="313"/>
    </row>
    <row r="26" spans="1:6" ht="12.75">
      <c r="A26" s="541" t="s">
        <v>14</v>
      </c>
      <c r="B26" s="542"/>
      <c r="C26" s="310"/>
      <c r="D26" s="311">
        <f>18879000-4141330-20000-400000-312000</f>
        <v>14005670</v>
      </c>
      <c r="E26" s="314"/>
      <c r="F26" s="313"/>
    </row>
    <row r="27" spans="1:6" ht="12.75">
      <c r="A27" s="541" t="s">
        <v>18</v>
      </c>
      <c r="B27" s="542"/>
      <c r="C27" s="310"/>
      <c r="D27" s="311">
        <v>3797300</v>
      </c>
      <c r="E27" s="314"/>
      <c r="F27" s="313"/>
    </row>
    <row r="28" spans="1:6" ht="12.75">
      <c r="A28" s="541" t="s">
        <v>20</v>
      </c>
      <c r="B28" s="542"/>
      <c r="C28" s="310"/>
      <c r="D28" s="311">
        <v>400000</v>
      </c>
      <c r="E28" s="314"/>
      <c r="F28" s="313"/>
    </row>
    <row r="29" spans="1:6" ht="12.75">
      <c r="A29" s="541" t="s">
        <v>689</v>
      </c>
      <c r="B29" s="542"/>
      <c r="C29" s="310"/>
      <c r="D29" s="311">
        <v>500000</v>
      </c>
      <c r="E29" s="314"/>
      <c r="F29" s="313"/>
    </row>
    <row r="30" spans="1:4" ht="15.75">
      <c r="A30" s="304" t="s">
        <v>402</v>
      </c>
      <c r="B30" s="321"/>
      <c r="C30" s="322"/>
      <c r="D30" s="323">
        <f>SUM(D17:D29)</f>
        <v>101139970</v>
      </c>
    </row>
    <row r="31" spans="1:4" ht="15.75">
      <c r="A31" s="304"/>
      <c r="B31" s="321"/>
      <c r="C31" s="322"/>
      <c r="D31" s="322"/>
    </row>
    <row r="32" spans="1:4" ht="16.5" thickBot="1">
      <c r="A32" s="324" t="s">
        <v>403</v>
      </c>
      <c r="B32" s="325"/>
      <c r="C32" s="326"/>
      <c r="D32" s="327">
        <f>SUM(D15,D30)</f>
        <v>111967657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&amp;R28. melléklet a 11/2017.(III.30.)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12">
      <selection activeCell="F141" sqref="F141"/>
    </sheetView>
  </sheetViews>
  <sheetFormatPr defaultColWidth="9.00390625" defaultRowHeight="12.75"/>
  <cols>
    <col min="1" max="1" width="9.00390625" style="578" customWidth="1"/>
    <col min="2" max="2" width="75.875" style="578" customWidth="1"/>
    <col min="3" max="4" width="15.50390625" style="578" customWidth="1"/>
    <col min="5" max="16384" width="9.375" style="543" customWidth="1"/>
  </cols>
  <sheetData>
    <row r="1" spans="1:4" ht="15.75" customHeight="1">
      <c r="A1" s="735" t="s">
        <v>38</v>
      </c>
      <c r="B1" s="735"/>
      <c r="C1" s="735"/>
      <c r="D1" s="735"/>
    </row>
    <row r="2" spans="1:4" ht="15.75" customHeight="1" thickBot="1">
      <c r="A2" s="734" t="s">
        <v>150</v>
      </c>
      <c r="B2" s="734"/>
      <c r="C2" s="540"/>
      <c r="D2" s="158" t="str">
        <f>'[1]10.sz.mell'!G8</f>
        <v>Forintban!</v>
      </c>
    </row>
    <row r="3" spans="1:4" ht="37.5" customHeight="1" thickBot="1">
      <c r="A3" s="22" t="s">
        <v>92</v>
      </c>
      <c r="B3" s="23" t="s">
        <v>40</v>
      </c>
      <c r="C3" s="544" t="s">
        <v>21</v>
      </c>
      <c r="D3" s="545" t="str">
        <f>+'[1]1.1.sz.mell.'!C3</f>
        <v>2017. évi előirányzat</v>
      </c>
    </row>
    <row r="4" spans="1:4" s="547" customFormat="1" ht="12" customHeight="1" thickBot="1">
      <c r="A4" s="32" t="s">
        <v>512</v>
      </c>
      <c r="B4" s="33" t="s">
        <v>513</v>
      </c>
      <c r="C4" s="33" t="s">
        <v>567</v>
      </c>
      <c r="D4" s="546" t="s">
        <v>568</v>
      </c>
    </row>
    <row r="5" spans="1:4" s="550" customFormat="1" ht="12" customHeight="1" thickBot="1">
      <c r="A5" s="19" t="s">
        <v>41</v>
      </c>
      <c r="B5" s="20" t="s">
        <v>212</v>
      </c>
      <c r="C5" s="548">
        <f>+C6+C7+C8+C9+C10+C11</f>
        <v>1055342000</v>
      </c>
      <c r="D5" s="641">
        <f>'1.1.sz.mell. '!C5</f>
        <v>1174961208</v>
      </c>
    </row>
    <row r="6" spans="1:4" s="550" customFormat="1" ht="12" customHeight="1">
      <c r="A6" s="14" t="s">
        <v>117</v>
      </c>
      <c r="B6" s="239" t="s">
        <v>213</v>
      </c>
      <c r="C6" s="551">
        <v>231988000</v>
      </c>
      <c r="D6" s="726">
        <f>'1.1.sz.mell. '!C6</f>
        <v>228418282</v>
      </c>
    </row>
    <row r="7" spans="1:4" s="550" customFormat="1" ht="12" customHeight="1">
      <c r="A7" s="13" t="s">
        <v>118</v>
      </c>
      <c r="B7" s="240" t="s">
        <v>214</v>
      </c>
      <c r="C7" s="553">
        <v>217051000</v>
      </c>
      <c r="D7" s="727">
        <f>'1.1.sz.mell. '!C7</f>
        <v>218107294</v>
      </c>
    </row>
    <row r="8" spans="1:4" s="550" customFormat="1" ht="12" customHeight="1">
      <c r="A8" s="13" t="s">
        <v>119</v>
      </c>
      <c r="B8" s="240" t="s">
        <v>215</v>
      </c>
      <c r="C8" s="553">
        <v>567601000</v>
      </c>
      <c r="D8" s="727">
        <f>'1.1.sz.mell. '!C8</f>
        <v>505153065</v>
      </c>
    </row>
    <row r="9" spans="1:4" s="550" customFormat="1" ht="12" customHeight="1">
      <c r="A9" s="13" t="s">
        <v>120</v>
      </c>
      <c r="B9" s="240" t="s">
        <v>216</v>
      </c>
      <c r="C9" s="553">
        <v>26943000</v>
      </c>
      <c r="D9" s="727">
        <f>'1.1.sz.mell. '!C9</f>
        <v>25891320</v>
      </c>
    </row>
    <row r="10" spans="1:4" s="550" customFormat="1" ht="12" customHeight="1">
      <c r="A10" s="13" t="s">
        <v>147</v>
      </c>
      <c r="B10" s="145" t="s">
        <v>515</v>
      </c>
      <c r="C10" s="553">
        <v>10020000</v>
      </c>
      <c r="D10" s="727">
        <f>'1.1.sz.mell. '!C10</f>
        <v>197391247</v>
      </c>
    </row>
    <row r="11" spans="1:4" s="550" customFormat="1" ht="12" customHeight="1" thickBot="1">
      <c r="A11" s="15" t="s">
        <v>121</v>
      </c>
      <c r="B11" s="146" t="s">
        <v>516</v>
      </c>
      <c r="C11" s="553">
        <v>1739000</v>
      </c>
      <c r="D11" s="728">
        <f>'1.1.sz.mell. '!C11</f>
        <v>0</v>
      </c>
    </row>
    <row r="12" spans="1:4" s="550" customFormat="1" ht="12" customHeight="1" thickBot="1">
      <c r="A12" s="19" t="s">
        <v>42</v>
      </c>
      <c r="B12" s="144" t="s">
        <v>217</v>
      </c>
      <c r="C12" s="548">
        <f>+C13+C14+C15+C16+C17</f>
        <v>781978000</v>
      </c>
      <c r="D12" s="641">
        <f>'1.1.sz.mell. '!C12</f>
        <v>509920588</v>
      </c>
    </row>
    <row r="13" spans="1:4" s="550" customFormat="1" ht="12" customHeight="1">
      <c r="A13" s="14" t="s">
        <v>123</v>
      </c>
      <c r="B13" s="239" t="s">
        <v>218</v>
      </c>
      <c r="C13" s="551"/>
      <c r="D13" s="726">
        <f>'1.1.sz.mell. '!C13</f>
        <v>0</v>
      </c>
    </row>
    <row r="14" spans="1:4" s="550" customFormat="1" ht="12" customHeight="1">
      <c r="A14" s="13" t="s">
        <v>124</v>
      </c>
      <c r="B14" s="240" t="s">
        <v>219</v>
      </c>
      <c r="C14" s="553"/>
      <c r="D14" s="727">
        <f>'1.1.sz.mell. '!C14</f>
        <v>0</v>
      </c>
    </row>
    <row r="15" spans="1:4" s="550" customFormat="1" ht="12" customHeight="1">
      <c r="A15" s="13" t="s">
        <v>125</v>
      </c>
      <c r="B15" s="240" t="s">
        <v>388</v>
      </c>
      <c r="C15" s="553"/>
      <c r="D15" s="727">
        <f>'1.1.sz.mell. '!C15</f>
        <v>0</v>
      </c>
    </row>
    <row r="16" spans="1:4" s="550" customFormat="1" ht="12" customHeight="1">
      <c r="A16" s="13" t="s">
        <v>126</v>
      </c>
      <c r="B16" s="240" t="s">
        <v>389</v>
      </c>
      <c r="C16" s="553"/>
      <c r="D16" s="727">
        <f>'1.1.sz.mell. '!C16</f>
        <v>0</v>
      </c>
    </row>
    <row r="17" spans="1:4" s="550" customFormat="1" ht="12" customHeight="1">
      <c r="A17" s="13" t="s">
        <v>127</v>
      </c>
      <c r="B17" s="240" t="s">
        <v>220</v>
      </c>
      <c r="C17" s="553">
        <v>781978000</v>
      </c>
      <c r="D17" s="727">
        <f>'1.1.sz.mell. '!C17</f>
        <v>509920588</v>
      </c>
    </row>
    <row r="18" spans="1:4" s="550" customFormat="1" ht="12" customHeight="1" thickBot="1">
      <c r="A18" s="15" t="s">
        <v>136</v>
      </c>
      <c r="B18" s="146" t="s">
        <v>221</v>
      </c>
      <c r="C18" s="554"/>
      <c r="D18" s="728">
        <f>'1.1.sz.mell. '!C18</f>
        <v>0</v>
      </c>
    </row>
    <row r="19" spans="1:4" s="550" customFormat="1" ht="12" customHeight="1" thickBot="1">
      <c r="A19" s="19" t="s">
        <v>43</v>
      </c>
      <c r="B19" s="20" t="s">
        <v>222</v>
      </c>
      <c r="C19" s="548">
        <f>+C20+C21+C22+C23+C24</f>
        <v>37234000</v>
      </c>
      <c r="D19" s="641">
        <f>'1.1.sz.mell. '!C19</f>
        <v>18976576</v>
      </c>
    </row>
    <row r="20" spans="1:4" s="550" customFormat="1" ht="12" customHeight="1">
      <c r="A20" s="14" t="s">
        <v>106</v>
      </c>
      <c r="B20" s="239" t="s">
        <v>223</v>
      </c>
      <c r="C20" s="551">
        <v>20895000</v>
      </c>
      <c r="D20" s="726">
        <f>'1.1.sz.mell. '!C20</f>
        <v>0</v>
      </c>
    </row>
    <row r="21" spans="1:4" s="550" customFormat="1" ht="12" customHeight="1">
      <c r="A21" s="13" t="s">
        <v>107</v>
      </c>
      <c r="B21" s="240" t="s">
        <v>224</v>
      </c>
      <c r="C21" s="553"/>
      <c r="D21" s="727">
        <f>'1.1.sz.mell. '!C21</f>
        <v>0</v>
      </c>
    </row>
    <row r="22" spans="1:4" s="550" customFormat="1" ht="12" customHeight="1">
      <c r="A22" s="13" t="s">
        <v>108</v>
      </c>
      <c r="B22" s="240" t="s">
        <v>390</v>
      </c>
      <c r="C22" s="553"/>
      <c r="D22" s="727">
        <f>'1.1.sz.mell. '!C22</f>
        <v>0</v>
      </c>
    </row>
    <row r="23" spans="1:4" s="550" customFormat="1" ht="12" customHeight="1">
      <c r="A23" s="13" t="s">
        <v>109</v>
      </c>
      <c r="B23" s="240" t="s">
        <v>391</v>
      </c>
      <c r="C23" s="553"/>
      <c r="D23" s="727">
        <f>'1.1.sz.mell. '!C23</f>
        <v>0</v>
      </c>
    </row>
    <row r="24" spans="1:4" s="550" customFormat="1" ht="12" customHeight="1">
      <c r="A24" s="13" t="s">
        <v>159</v>
      </c>
      <c r="B24" s="240" t="s">
        <v>225</v>
      </c>
      <c r="C24" s="553">
        <v>16339000</v>
      </c>
      <c r="D24" s="727">
        <f>'1.1.sz.mell. '!C24</f>
        <v>18976576</v>
      </c>
    </row>
    <row r="25" spans="1:4" s="550" customFormat="1" ht="12" customHeight="1" thickBot="1">
      <c r="A25" s="15" t="s">
        <v>160</v>
      </c>
      <c r="B25" s="241" t="s">
        <v>226</v>
      </c>
      <c r="C25" s="554"/>
      <c r="D25" s="728">
        <f>'1.1.sz.mell. '!C25</f>
        <v>3797300</v>
      </c>
    </row>
    <row r="26" spans="1:4" s="550" customFormat="1" ht="12" customHeight="1" thickBot="1">
      <c r="A26" s="19" t="s">
        <v>161</v>
      </c>
      <c r="B26" s="20" t="s">
        <v>227</v>
      </c>
      <c r="C26" s="555">
        <f>C27+C31+C32+C33</f>
        <v>363460000</v>
      </c>
      <c r="D26" s="641">
        <f>'1.1.sz.mell. '!C26</f>
        <v>319390000</v>
      </c>
    </row>
    <row r="27" spans="1:4" s="550" customFormat="1" ht="12" customHeight="1">
      <c r="A27" s="14" t="s">
        <v>228</v>
      </c>
      <c r="B27" s="239" t="s">
        <v>22</v>
      </c>
      <c r="C27" s="551">
        <f>C28+C29+C30</f>
        <v>320640000</v>
      </c>
      <c r="D27" s="726">
        <f>'1.1.sz.mell. '!C27</f>
        <v>282830000</v>
      </c>
    </row>
    <row r="28" spans="1:4" s="550" customFormat="1" ht="12" customHeight="1">
      <c r="A28" s="13" t="s">
        <v>231</v>
      </c>
      <c r="B28" s="240" t="s">
        <v>24</v>
      </c>
      <c r="C28" s="553">
        <v>83000000</v>
      </c>
      <c r="D28" s="727">
        <f>'1.1.sz.mell. '!C28</f>
        <v>78990000</v>
      </c>
    </row>
    <row r="29" spans="1:4" s="550" customFormat="1" ht="12" customHeight="1">
      <c r="A29" s="13" t="s">
        <v>232</v>
      </c>
      <c r="B29" s="240" t="s">
        <v>619</v>
      </c>
      <c r="C29" s="553">
        <v>237500000</v>
      </c>
      <c r="D29" s="727">
        <f>'1.1.sz.mell. '!C29</f>
        <v>203840000</v>
      </c>
    </row>
    <row r="30" spans="1:4" s="550" customFormat="1" ht="12" customHeight="1">
      <c r="A30" s="13" t="s">
        <v>233</v>
      </c>
      <c r="B30" s="240" t="s">
        <v>23</v>
      </c>
      <c r="C30" s="553">
        <v>140000</v>
      </c>
      <c r="D30" s="727">
        <f>'1.1.sz.mell. '!C30</f>
        <v>0</v>
      </c>
    </row>
    <row r="31" spans="1:4" s="550" customFormat="1" ht="12" customHeight="1">
      <c r="A31" s="13" t="s">
        <v>618</v>
      </c>
      <c r="B31" s="240" t="s">
        <v>236</v>
      </c>
      <c r="C31" s="553">
        <v>28200000</v>
      </c>
      <c r="D31" s="727">
        <f>'1.1.sz.mell. '!C31</f>
        <v>27000000</v>
      </c>
    </row>
    <row r="32" spans="1:4" s="550" customFormat="1" ht="12" customHeight="1">
      <c r="A32" s="13" t="s">
        <v>648</v>
      </c>
      <c r="B32" s="240" t="s">
        <v>237</v>
      </c>
      <c r="C32" s="553">
        <v>5620000</v>
      </c>
      <c r="D32" s="727">
        <f>'1.1.sz.mell. '!C32</f>
        <v>60000</v>
      </c>
    </row>
    <row r="33" spans="1:4" s="550" customFormat="1" ht="12" customHeight="1" thickBot="1">
      <c r="A33" s="15" t="s">
        <v>649</v>
      </c>
      <c r="B33" s="241" t="s">
        <v>238</v>
      </c>
      <c r="C33" s="554">
        <v>9000000</v>
      </c>
      <c r="D33" s="728">
        <f>'1.1.sz.mell. '!C33</f>
        <v>9500000</v>
      </c>
    </row>
    <row r="34" spans="1:4" s="550" customFormat="1" ht="12" customHeight="1" thickBot="1">
      <c r="A34" s="19" t="s">
        <v>45</v>
      </c>
      <c r="B34" s="20" t="s">
        <v>520</v>
      </c>
      <c r="C34" s="548">
        <f>SUM(C35:C45)</f>
        <v>457659000</v>
      </c>
      <c r="D34" s="641">
        <f>'1.1.sz.mell. '!C34</f>
        <v>448054678</v>
      </c>
    </row>
    <row r="35" spans="1:4" s="550" customFormat="1" ht="12" customHeight="1">
      <c r="A35" s="14" t="s">
        <v>110</v>
      </c>
      <c r="B35" s="239" t="s">
        <v>241</v>
      </c>
      <c r="C35" s="551">
        <v>13400000</v>
      </c>
      <c r="D35" s="726">
        <f>'1.1.sz.mell. '!C35</f>
        <v>13087000</v>
      </c>
    </row>
    <row r="36" spans="1:4" s="550" customFormat="1" ht="12" customHeight="1">
      <c r="A36" s="13" t="s">
        <v>111</v>
      </c>
      <c r="B36" s="240" t="s">
        <v>242</v>
      </c>
      <c r="C36" s="553">
        <v>98371000</v>
      </c>
      <c r="D36" s="727">
        <f>'1.1.sz.mell. '!C36</f>
        <v>87991338</v>
      </c>
    </row>
    <row r="37" spans="1:4" s="550" customFormat="1" ht="12" customHeight="1">
      <c r="A37" s="13" t="s">
        <v>112</v>
      </c>
      <c r="B37" s="240" t="s">
        <v>243</v>
      </c>
      <c r="C37" s="553">
        <v>95710000</v>
      </c>
      <c r="D37" s="727">
        <f>'1.1.sz.mell. '!C37</f>
        <v>95623340</v>
      </c>
    </row>
    <row r="38" spans="1:4" s="550" customFormat="1" ht="12" customHeight="1">
      <c r="A38" s="13" t="s">
        <v>163</v>
      </c>
      <c r="B38" s="240" t="s">
        <v>244</v>
      </c>
      <c r="C38" s="553">
        <v>376000</v>
      </c>
      <c r="D38" s="727">
        <f>'1.1.sz.mell. '!C38</f>
        <v>430000</v>
      </c>
    </row>
    <row r="39" spans="1:4" s="550" customFormat="1" ht="12" customHeight="1">
      <c r="A39" s="13" t="s">
        <v>164</v>
      </c>
      <c r="B39" s="240" t="s">
        <v>245</v>
      </c>
      <c r="C39" s="553">
        <v>182275000</v>
      </c>
      <c r="D39" s="727">
        <f>'1.1.sz.mell. '!C39</f>
        <v>182811402</v>
      </c>
    </row>
    <row r="40" spans="1:4" s="550" customFormat="1" ht="12" customHeight="1">
      <c r="A40" s="13" t="s">
        <v>165</v>
      </c>
      <c r="B40" s="240" t="s">
        <v>246</v>
      </c>
      <c r="C40" s="553">
        <v>43482000</v>
      </c>
      <c r="D40" s="727">
        <f>'1.1.sz.mell. '!C40</f>
        <v>45733598</v>
      </c>
    </row>
    <row r="41" spans="1:4" s="550" customFormat="1" ht="12" customHeight="1">
      <c r="A41" s="13" t="s">
        <v>166</v>
      </c>
      <c r="B41" s="240" t="s">
        <v>247</v>
      </c>
      <c r="C41" s="553">
        <v>22424000</v>
      </c>
      <c r="D41" s="727">
        <f>'1.1.sz.mell. '!C41</f>
        <v>21034000</v>
      </c>
    </row>
    <row r="42" spans="1:4" s="550" customFormat="1" ht="12" customHeight="1">
      <c r="A42" s="13" t="s">
        <v>167</v>
      </c>
      <c r="B42" s="240" t="s">
        <v>650</v>
      </c>
      <c r="C42" s="553">
        <v>21000</v>
      </c>
      <c r="D42" s="727">
        <f>'1.1.sz.mell. '!C42</f>
        <v>40000</v>
      </c>
    </row>
    <row r="43" spans="1:4" s="550" customFormat="1" ht="12" customHeight="1">
      <c r="A43" s="13" t="s">
        <v>239</v>
      </c>
      <c r="B43" s="240" t="s">
        <v>249</v>
      </c>
      <c r="C43" s="557"/>
      <c r="D43" s="727">
        <f>'1.1.sz.mell. '!C43</f>
        <v>0</v>
      </c>
    </row>
    <row r="44" spans="1:4" s="550" customFormat="1" ht="12" customHeight="1">
      <c r="A44" s="15" t="s">
        <v>240</v>
      </c>
      <c r="B44" s="241" t="s">
        <v>521</v>
      </c>
      <c r="C44" s="558">
        <v>500000</v>
      </c>
      <c r="D44" s="727">
        <f>'1.1.sz.mell. '!C44</f>
        <v>500000</v>
      </c>
    </row>
    <row r="45" spans="1:4" s="550" customFormat="1" ht="12" customHeight="1" thickBot="1">
      <c r="A45" s="15" t="s">
        <v>522</v>
      </c>
      <c r="B45" s="146" t="s">
        <v>250</v>
      </c>
      <c r="C45" s="558">
        <v>1100000</v>
      </c>
      <c r="D45" s="728">
        <f>'1.1.sz.mell. '!C45</f>
        <v>804000</v>
      </c>
    </row>
    <row r="46" spans="1:4" s="550" customFormat="1" ht="12" customHeight="1" thickBot="1">
      <c r="A46" s="19" t="s">
        <v>46</v>
      </c>
      <c r="B46" s="20" t="s">
        <v>251</v>
      </c>
      <c r="C46" s="548">
        <f>SUM(C47:C51)</f>
        <v>36253000</v>
      </c>
      <c r="D46" s="641">
        <f>'1.1.sz.mell. '!C46</f>
        <v>25179000</v>
      </c>
    </row>
    <row r="47" spans="1:4" s="550" customFormat="1" ht="12" customHeight="1">
      <c r="A47" s="14" t="s">
        <v>113</v>
      </c>
      <c r="B47" s="239" t="s">
        <v>255</v>
      </c>
      <c r="C47" s="559"/>
      <c r="D47" s="726">
        <f>'1.1.sz.mell. '!C47</f>
        <v>0</v>
      </c>
    </row>
    <row r="48" spans="1:4" s="550" customFormat="1" ht="12" customHeight="1">
      <c r="A48" s="13" t="s">
        <v>114</v>
      </c>
      <c r="B48" s="240" t="s">
        <v>256</v>
      </c>
      <c r="C48" s="557">
        <v>36043000</v>
      </c>
      <c r="D48" s="727">
        <f>'1.1.sz.mell. '!C48</f>
        <v>25179000</v>
      </c>
    </row>
    <row r="49" spans="1:4" s="550" customFormat="1" ht="12" customHeight="1">
      <c r="A49" s="13" t="s">
        <v>252</v>
      </c>
      <c r="B49" s="240" t="s">
        <v>257</v>
      </c>
      <c r="C49" s="557">
        <v>210000</v>
      </c>
      <c r="D49" s="727">
        <f>'1.1.sz.mell. '!C49</f>
        <v>0</v>
      </c>
    </row>
    <row r="50" spans="1:4" s="550" customFormat="1" ht="12" customHeight="1">
      <c r="A50" s="13" t="s">
        <v>253</v>
      </c>
      <c r="B50" s="240" t="s">
        <v>258</v>
      </c>
      <c r="C50" s="557"/>
      <c r="D50" s="727">
        <f>'1.1.sz.mell. '!C50</f>
        <v>0</v>
      </c>
    </row>
    <row r="51" spans="1:4" s="550" customFormat="1" ht="12" customHeight="1" thickBot="1">
      <c r="A51" s="15" t="s">
        <v>254</v>
      </c>
      <c r="B51" s="146" t="s">
        <v>259</v>
      </c>
      <c r="C51" s="558"/>
      <c r="D51" s="728">
        <f>'1.1.sz.mell. '!C51</f>
        <v>0</v>
      </c>
    </row>
    <row r="52" spans="1:4" s="550" customFormat="1" ht="12" customHeight="1" thickBot="1">
      <c r="A52" s="19" t="s">
        <v>168</v>
      </c>
      <c r="B52" s="20" t="s">
        <v>260</v>
      </c>
      <c r="C52" s="548">
        <f>SUM(C53:C55)</f>
        <v>17053000</v>
      </c>
      <c r="D52" s="641">
        <f>'1.1.sz.mell. '!C52</f>
        <v>6024000</v>
      </c>
    </row>
    <row r="53" spans="1:4" s="550" customFormat="1" ht="12" customHeight="1">
      <c r="A53" s="14" t="s">
        <v>115</v>
      </c>
      <c r="B53" s="239" t="s">
        <v>261</v>
      </c>
      <c r="C53" s="551"/>
      <c r="D53" s="726">
        <f>'1.1.sz.mell. '!C53</f>
        <v>0</v>
      </c>
    </row>
    <row r="54" spans="1:4" s="550" customFormat="1" ht="12" customHeight="1">
      <c r="A54" s="13" t="s">
        <v>116</v>
      </c>
      <c r="B54" s="240" t="s">
        <v>392</v>
      </c>
      <c r="C54" s="553">
        <v>3366000</v>
      </c>
      <c r="D54" s="727">
        <f>'1.1.sz.mell. '!C54</f>
        <v>1949000</v>
      </c>
    </row>
    <row r="55" spans="1:4" s="550" customFormat="1" ht="12" customHeight="1">
      <c r="A55" s="13" t="s">
        <v>264</v>
      </c>
      <c r="B55" s="240" t="s">
        <v>262</v>
      </c>
      <c r="C55" s="553">
        <v>13687000</v>
      </c>
      <c r="D55" s="727">
        <f>'1.1.sz.mell. '!C55</f>
        <v>4075000</v>
      </c>
    </row>
    <row r="56" spans="1:4" s="550" customFormat="1" ht="12" customHeight="1" thickBot="1">
      <c r="A56" s="15" t="s">
        <v>265</v>
      </c>
      <c r="B56" s="146" t="s">
        <v>263</v>
      </c>
      <c r="C56" s="554"/>
      <c r="D56" s="728">
        <f>'1.1.sz.mell. '!C56</f>
        <v>0</v>
      </c>
    </row>
    <row r="57" spans="1:4" s="550" customFormat="1" ht="12" customHeight="1" thickBot="1">
      <c r="A57" s="19" t="s">
        <v>48</v>
      </c>
      <c r="B57" s="144" t="s">
        <v>266</v>
      </c>
      <c r="C57" s="548">
        <f>SUM(C58:C60)</f>
        <v>4228000</v>
      </c>
      <c r="D57" s="641">
        <f>'1.1.sz.mell. '!C57</f>
        <v>0</v>
      </c>
    </row>
    <row r="58" spans="1:4" s="550" customFormat="1" ht="12" customHeight="1">
      <c r="A58" s="14" t="s">
        <v>169</v>
      </c>
      <c r="B58" s="239" t="s">
        <v>268</v>
      </c>
      <c r="C58" s="557"/>
      <c r="D58" s="726">
        <f>'1.1.sz.mell. '!C58</f>
        <v>0</v>
      </c>
    </row>
    <row r="59" spans="1:4" s="550" customFormat="1" ht="12" customHeight="1">
      <c r="A59" s="13" t="s">
        <v>170</v>
      </c>
      <c r="B59" s="240" t="s">
        <v>393</v>
      </c>
      <c r="C59" s="557"/>
      <c r="D59" s="727">
        <f>'1.1.sz.mell. '!C59</f>
        <v>0</v>
      </c>
    </row>
    <row r="60" spans="1:4" s="550" customFormat="1" ht="12" customHeight="1">
      <c r="A60" s="13" t="s">
        <v>192</v>
      </c>
      <c r="B60" s="240" t="s">
        <v>269</v>
      </c>
      <c r="C60" s="557">
        <v>4228000</v>
      </c>
      <c r="D60" s="727">
        <f>'1.1.sz.mell. '!C60</f>
        <v>0</v>
      </c>
    </row>
    <row r="61" spans="1:4" s="550" customFormat="1" ht="12" customHeight="1" thickBot="1">
      <c r="A61" s="15" t="s">
        <v>267</v>
      </c>
      <c r="B61" s="146" t="s">
        <v>270</v>
      </c>
      <c r="C61" s="557"/>
      <c r="D61" s="728">
        <f>'1.1.sz.mell. '!C61</f>
        <v>0</v>
      </c>
    </row>
    <row r="62" spans="1:4" s="550" customFormat="1" ht="12" customHeight="1" thickBot="1">
      <c r="A62" s="464" t="s">
        <v>523</v>
      </c>
      <c r="B62" s="20" t="s">
        <v>271</v>
      </c>
      <c r="C62" s="555">
        <f>+C5+C12+C19+C26+C34+C46+C52+C57</f>
        <v>2753207000</v>
      </c>
      <c r="D62" s="641">
        <f>'1.1.sz.mell. '!C62</f>
        <v>2502506050</v>
      </c>
    </row>
    <row r="63" spans="1:4" s="550" customFormat="1" ht="12" customHeight="1" thickBot="1">
      <c r="A63" s="465" t="s">
        <v>272</v>
      </c>
      <c r="B63" s="144" t="s">
        <v>651</v>
      </c>
      <c r="C63" s="548">
        <f>SUM(C64:C66)</f>
        <v>160303000</v>
      </c>
      <c r="D63" s="641">
        <f>'1.1.sz.mell. '!C63</f>
        <v>144100000</v>
      </c>
    </row>
    <row r="64" spans="1:4" s="550" customFormat="1" ht="12" customHeight="1">
      <c r="A64" s="14" t="s">
        <v>304</v>
      </c>
      <c r="B64" s="239" t="s">
        <v>274</v>
      </c>
      <c r="C64" s="557">
        <v>60303000</v>
      </c>
      <c r="D64" s="726">
        <f>'1.1.sz.mell. '!C64</f>
        <v>44100000</v>
      </c>
    </row>
    <row r="65" spans="1:4" s="550" customFormat="1" ht="12" customHeight="1">
      <c r="A65" s="13" t="s">
        <v>313</v>
      </c>
      <c r="B65" s="240" t="s">
        <v>275</v>
      </c>
      <c r="C65" s="557">
        <v>100000000</v>
      </c>
      <c r="D65" s="727">
        <f>'1.1.sz.mell. '!C65</f>
        <v>100000000</v>
      </c>
    </row>
    <row r="66" spans="1:4" s="550" customFormat="1" ht="12" customHeight="1" thickBot="1">
      <c r="A66" s="15" t="s">
        <v>314</v>
      </c>
      <c r="B66" s="466" t="s">
        <v>524</v>
      </c>
      <c r="C66" s="557"/>
      <c r="D66" s="728">
        <f>'1.1.sz.mell. '!C66</f>
        <v>0</v>
      </c>
    </row>
    <row r="67" spans="1:4" s="550" customFormat="1" ht="12" customHeight="1" thickBot="1">
      <c r="A67" s="465" t="s">
        <v>277</v>
      </c>
      <c r="B67" s="144" t="s">
        <v>278</v>
      </c>
      <c r="C67" s="548">
        <f>SUM(C68:C71)</f>
        <v>0</v>
      </c>
      <c r="D67" s="641">
        <f>'1.1.sz.mell. '!C67</f>
        <v>0</v>
      </c>
    </row>
    <row r="68" spans="1:4" s="550" customFormat="1" ht="12" customHeight="1">
      <c r="A68" s="14" t="s">
        <v>148</v>
      </c>
      <c r="B68" s="239" t="s">
        <v>279</v>
      </c>
      <c r="C68" s="557"/>
      <c r="D68" s="726">
        <f>'1.1.sz.mell. '!C68</f>
        <v>0</v>
      </c>
    </row>
    <row r="69" spans="1:4" s="550" customFormat="1" ht="17.25" customHeight="1">
      <c r="A69" s="13" t="s">
        <v>149</v>
      </c>
      <c r="B69" s="240" t="s">
        <v>280</v>
      </c>
      <c r="C69" s="557"/>
      <c r="D69" s="727">
        <f>'1.1.sz.mell. '!C69</f>
        <v>0</v>
      </c>
    </row>
    <row r="70" spans="1:4" s="550" customFormat="1" ht="12" customHeight="1">
      <c r="A70" s="13" t="s">
        <v>305</v>
      </c>
      <c r="B70" s="240" t="s">
        <v>281</v>
      </c>
      <c r="C70" s="557"/>
      <c r="D70" s="727">
        <f>'1.1.sz.mell. '!C70</f>
        <v>0</v>
      </c>
    </row>
    <row r="71" spans="1:4" s="550" customFormat="1" ht="12" customHeight="1" thickBot="1">
      <c r="A71" s="15" t="s">
        <v>306</v>
      </c>
      <c r="B71" s="146" t="s">
        <v>282</v>
      </c>
      <c r="C71" s="557"/>
      <c r="D71" s="728">
        <f>'1.1.sz.mell. '!C71</f>
        <v>0</v>
      </c>
    </row>
    <row r="72" spans="1:4" s="550" customFormat="1" ht="12" customHeight="1" thickBot="1">
      <c r="A72" s="465" t="s">
        <v>283</v>
      </c>
      <c r="B72" s="144" t="s">
        <v>284</v>
      </c>
      <c r="C72" s="548">
        <f>SUM(C73:C74)</f>
        <v>264948000</v>
      </c>
      <c r="D72" s="641">
        <f>'1.1.sz.mell. '!C72</f>
        <v>292999415</v>
      </c>
    </row>
    <row r="73" spans="1:4" s="550" customFormat="1" ht="12" customHeight="1">
      <c r="A73" s="14" t="s">
        <v>307</v>
      </c>
      <c r="B73" s="239" t="s">
        <v>285</v>
      </c>
      <c r="C73" s="557">
        <v>264948000</v>
      </c>
      <c r="D73" s="726">
        <f>'1.1.sz.mell. '!C73</f>
        <v>292999415</v>
      </c>
    </row>
    <row r="74" spans="1:4" s="550" customFormat="1" ht="12" customHeight="1" thickBot="1">
      <c r="A74" s="15" t="s">
        <v>308</v>
      </c>
      <c r="B74" s="146" t="s">
        <v>286</v>
      </c>
      <c r="C74" s="557"/>
      <c r="D74" s="728">
        <f>'1.1.sz.mell. '!C74</f>
        <v>0</v>
      </c>
    </row>
    <row r="75" spans="1:4" s="550" customFormat="1" ht="12" customHeight="1" thickBot="1">
      <c r="A75" s="465" t="s">
        <v>287</v>
      </c>
      <c r="B75" s="144" t="s">
        <v>288</v>
      </c>
      <c r="C75" s="548">
        <f>SUM(C76:C78)</f>
        <v>0</v>
      </c>
      <c r="D75" s="641">
        <f>'1.1.sz.mell. '!C75</f>
        <v>0</v>
      </c>
    </row>
    <row r="76" spans="1:4" s="550" customFormat="1" ht="12" customHeight="1">
      <c r="A76" s="14" t="s">
        <v>309</v>
      </c>
      <c r="B76" s="239" t="s">
        <v>289</v>
      </c>
      <c r="C76" s="557"/>
      <c r="D76" s="726">
        <f>'1.1.sz.mell. '!C76</f>
        <v>0</v>
      </c>
    </row>
    <row r="77" spans="1:4" s="550" customFormat="1" ht="12" customHeight="1">
      <c r="A77" s="13" t="s">
        <v>310</v>
      </c>
      <c r="B77" s="240" t="s">
        <v>290</v>
      </c>
      <c r="C77" s="557"/>
      <c r="D77" s="727">
        <f>'1.1.sz.mell. '!C77</f>
        <v>0</v>
      </c>
    </row>
    <row r="78" spans="1:4" s="550" customFormat="1" ht="12" customHeight="1" thickBot="1">
      <c r="A78" s="15" t="s">
        <v>311</v>
      </c>
      <c r="B78" s="146" t="s">
        <v>291</v>
      </c>
      <c r="C78" s="557"/>
      <c r="D78" s="728">
        <f>'1.1.sz.mell. '!C78</f>
        <v>0</v>
      </c>
    </row>
    <row r="79" spans="1:4" s="550" customFormat="1" ht="12" customHeight="1" thickBot="1">
      <c r="A79" s="465" t="s">
        <v>292</v>
      </c>
      <c r="B79" s="144" t="s">
        <v>312</v>
      </c>
      <c r="C79" s="548">
        <f>SUM(C80:C83)</f>
        <v>0</v>
      </c>
      <c r="D79" s="641">
        <f>'1.1.sz.mell. '!C79</f>
        <v>0</v>
      </c>
    </row>
    <row r="80" spans="1:4" s="550" customFormat="1" ht="12" customHeight="1">
      <c r="A80" s="243" t="s">
        <v>293</v>
      </c>
      <c r="B80" s="239" t="s">
        <v>294</v>
      </c>
      <c r="C80" s="557"/>
      <c r="D80" s="726">
        <f>'1.1.sz.mell. '!C80</f>
        <v>0</v>
      </c>
    </row>
    <row r="81" spans="1:4" s="550" customFormat="1" ht="12" customHeight="1">
      <c r="A81" s="244" t="s">
        <v>295</v>
      </c>
      <c r="B81" s="240" t="s">
        <v>296</v>
      </c>
      <c r="C81" s="557"/>
      <c r="D81" s="727">
        <f>'1.1.sz.mell. '!C81</f>
        <v>0</v>
      </c>
    </row>
    <row r="82" spans="1:4" s="550" customFormat="1" ht="12" customHeight="1">
      <c r="A82" s="244" t="s">
        <v>297</v>
      </c>
      <c r="B82" s="240" t="s">
        <v>298</v>
      </c>
      <c r="C82" s="557"/>
      <c r="D82" s="727">
        <f>'1.1.sz.mell. '!C82</f>
        <v>0</v>
      </c>
    </row>
    <row r="83" spans="1:4" s="550" customFormat="1" ht="12" customHeight="1" thickBot="1">
      <c r="A83" s="245" t="s">
        <v>299</v>
      </c>
      <c r="B83" s="146" t="s">
        <v>300</v>
      </c>
      <c r="C83" s="557"/>
      <c r="D83" s="728">
        <f>'1.1.sz.mell. '!C83</f>
        <v>0</v>
      </c>
    </row>
    <row r="84" spans="1:4" s="550" customFormat="1" ht="12" customHeight="1" thickBot="1">
      <c r="A84" s="465" t="s">
        <v>301</v>
      </c>
      <c r="B84" s="144" t="s">
        <v>525</v>
      </c>
      <c r="C84" s="561"/>
      <c r="D84" s="641">
        <f>'1.1.sz.mell. '!C84</f>
        <v>0</v>
      </c>
    </row>
    <row r="85" spans="1:4" s="550" customFormat="1" ht="12" customHeight="1" thickBot="1">
      <c r="A85" s="465" t="s">
        <v>303</v>
      </c>
      <c r="B85" s="144" t="s">
        <v>302</v>
      </c>
      <c r="C85" s="561"/>
      <c r="D85" s="641">
        <f>'1.1.sz.mell. '!C85</f>
        <v>0</v>
      </c>
    </row>
    <row r="86" spans="1:4" s="550" customFormat="1" ht="12" customHeight="1" thickBot="1">
      <c r="A86" s="465" t="s">
        <v>315</v>
      </c>
      <c r="B86" s="246" t="s">
        <v>526</v>
      </c>
      <c r="C86" s="555">
        <f>+C63+C67+C72+C75+C79+C85+C84</f>
        <v>425251000</v>
      </c>
      <c r="D86" s="641">
        <f>'1.1.sz.mell. '!C86</f>
        <v>437099415</v>
      </c>
    </row>
    <row r="87" spans="1:4" s="550" customFormat="1" ht="12" customHeight="1" thickBot="1">
      <c r="A87" s="467" t="s">
        <v>527</v>
      </c>
      <c r="B87" s="247" t="s">
        <v>528</v>
      </c>
      <c r="C87" s="555">
        <f>+C62+C86</f>
        <v>3178458000</v>
      </c>
      <c r="D87" s="641">
        <f>'1.1.sz.mell. '!C87</f>
        <v>2939605465</v>
      </c>
    </row>
    <row r="88" spans="1:4" s="550" customFormat="1" ht="12" customHeight="1">
      <c r="A88" s="563"/>
      <c r="B88" s="564"/>
      <c r="C88" s="565"/>
      <c r="D88" s="566"/>
    </row>
    <row r="89" spans="1:4" s="550" customFormat="1" ht="12" customHeight="1">
      <c r="A89" s="735" t="s">
        <v>70</v>
      </c>
      <c r="B89" s="735"/>
      <c r="C89" s="735"/>
      <c r="D89" s="735"/>
    </row>
    <row r="90" spans="1:4" s="550" customFormat="1" ht="12" customHeight="1" thickBot="1">
      <c r="A90" s="736" t="s">
        <v>151</v>
      </c>
      <c r="B90" s="736"/>
      <c r="C90" s="540"/>
      <c r="D90" s="158" t="str">
        <f>D2</f>
        <v>Forintban!</v>
      </c>
    </row>
    <row r="91" spans="1:4" s="550" customFormat="1" ht="24" customHeight="1" thickBot="1">
      <c r="A91" s="22" t="s">
        <v>39</v>
      </c>
      <c r="B91" s="23" t="s">
        <v>71</v>
      </c>
      <c r="C91" s="23" t="str">
        <f>+C3</f>
        <v>2016. évi módosított előirányzat</v>
      </c>
      <c r="D91" s="545" t="str">
        <f>+D3</f>
        <v>2017. évi előirányzat</v>
      </c>
    </row>
    <row r="92" spans="1:4" s="550" customFormat="1" ht="12" customHeight="1" thickBot="1">
      <c r="A92" s="32" t="s">
        <v>512</v>
      </c>
      <c r="B92" s="33" t="s">
        <v>513</v>
      </c>
      <c r="C92" s="33" t="s">
        <v>567</v>
      </c>
      <c r="D92" s="546" t="s">
        <v>568</v>
      </c>
    </row>
    <row r="93" spans="1:4" s="550" customFormat="1" ht="15" customHeight="1" thickBot="1">
      <c r="A93" s="21" t="s">
        <v>41</v>
      </c>
      <c r="B93" s="26" t="s">
        <v>566</v>
      </c>
      <c r="C93" s="567">
        <f>C94+C95+C96+C97+C98+C111</f>
        <v>2906143000</v>
      </c>
      <c r="D93" s="644">
        <f>'1.1.sz.mell. '!C93</f>
        <v>2614428777</v>
      </c>
    </row>
    <row r="94" spans="1:4" s="550" customFormat="1" ht="12.75" customHeight="1">
      <c r="A94" s="16" t="s">
        <v>117</v>
      </c>
      <c r="B94" s="9" t="s">
        <v>72</v>
      </c>
      <c r="C94" s="569">
        <v>1371432000</v>
      </c>
      <c r="D94" s="729">
        <f>'1.1.sz.mell. '!C94</f>
        <v>1231407092</v>
      </c>
    </row>
    <row r="95" spans="1:4" ht="16.5" customHeight="1">
      <c r="A95" s="13" t="s">
        <v>118</v>
      </c>
      <c r="B95" s="7" t="s">
        <v>171</v>
      </c>
      <c r="C95" s="553">
        <v>295923000</v>
      </c>
      <c r="D95" s="730">
        <f>'1.1.sz.mell. '!C95</f>
        <v>239580182</v>
      </c>
    </row>
    <row r="96" spans="1:4" ht="15.75">
      <c r="A96" s="13" t="s">
        <v>119</v>
      </c>
      <c r="B96" s="7" t="s">
        <v>146</v>
      </c>
      <c r="C96" s="554">
        <v>893999000</v>
      </c>
      <c r="D96" s="730">
        <f>'1.1.sz.mell. '!C96</f>
        <v>895577346</v>
      </c>
    </row>
    <row r="97" spans="1:4" s="547" customFormat="1" ht="12" customHeight="1">
      <c r="A97" s="13" t="s">
        <v>120</v>
      </c>
      <c r="B97" s="10" t="s">
        <v>172</v>
      </c>
      <c r="C97" s="554">
        <v>76171000</v>
      </c>
      <c r="D97" s="730">
        <f>'1.1.sz.mell. '!C97</f>
        <v>95230000</v>
      </c>
    </row>
    <row r="98" spans="1:4" ht="12" customHeight="1">
      <c r="A98" s="13" t="s">
        <v>131</v>
      </c>
      <c r="B98" s="18" t="s">
        <v>173</v>
      </c>
      <c r="C98" s="554">
        <v>183928000</v>
      </c>
      <c r="D98" s="730">
        <f>'1.1.sz.mell. '!C98</f>
        <v>40666500</v>
      </c>
    </row>
    <row r="99" spans="1:4" ht="12" customHeight="1">
      <c r="A99" s="13" t="s">
        <v>121</v>
      </c>
      <c r="B99" s="7" t="s">
        <v>529</v>
      </c>
      <c r="C99" s="554">
        <v>6599000</v>
      </c>
      <c r="D99" s="730">
        <f>'1.1.sz.mell. '!C99</f>
        <v>1500</v>
      </c>
    </row>
    <row r="100" spans="1:4" ht="12" customHeight="1">
      <c r="A100" s="13" t="s">
        <v>122</v>
      </c>
      <c r="B100" s="92" t="s">
        <v>530</v>
      </c>
      <c r="C100" s="554"/>
      <c r="D100" s="730">
        <f>'1.1.sz.mell. '!C100</f>
        <v>0</v>
      </c>
    </row>
    <row r="101" spans="1:4" ht="12" customHeight="1">
      <c r="A101" s="13" t="s">
        <v>132</v>
      </c>
      <c r="B101" s="92" t="s">
        <v>531</v>
      </c>
      <c r="C101" s="554"/>
      <c r="D101" s="730">
        <f>'1.1.sz.mell. '!C101</f>
        <v>0</v>
      </c>
    </row>
    <row r="102" spans="1:4" ht="12" customHeight="1">
      <c r="A102" s="13" t="s">
        <v>133</v>
      </c>
      <c r="B102" s="90" t="s">
        <v>318</v>
      </c>
      <c r="C102" s="554"/>
      <c r="D102" s="730">
        <f>'1.1.sz.mell. '!C102</f>
        <v>0</v>
      </c>
    </row>
    <row r="103" spans="1:4" ht="12" customHeight="1">
      <c r="A103" s="13" t="s">
        <v>134</v>
      </c>
      <c r="B103" s="91" t="s">
        <v>319</v>
      </c>
      <c r="C103" s="554"/>
      <c r="D103" s="730">
        <f>'1.1.sz.mell. '!C103</f>
        <v>0</v>
      </c>
    </row>
    <row r="104" spans="1:4" ht="12" customHeight="1">
      <c r="A104" s="13" t="s">
        <v>135</v>
      </c>
      <c r="B104" s="91" t="s">
        <v>320</v>
      </c>
      <c r="C104" s="554"/>
      <c r="D104" s="730">
        <f>'1.1.sz.mell. '!C104</f>
        <v>0</v>
      </c>
    </row>
    <row r="105" spans="1:4" ht="12" customHeight="1">
      <c r="A105" s="13" t="s">
        <v>137</v>
      </c>
      <c r="B105" s="90" t="s">
        <v>321</v>
      </c>
      <c r="C105" s="554">
        <v>113427000</v>
      </c>
      <c r="D105" s="730">
        <f>'1.1.sz.mell. '!C105</f>
        <v>0</v>
      </c>
    </row>
    <row r="106" spans="1:4" ht="12" customHeight="1">
      <c r="A106" s="13" t="s">
        <v>174</v>
      </c>
      <c r="B106" s="90" t="s">
        <v>322</v>
      </c>
      <c r="C106" s="554"/>
      <c r="D106" s="730">
        <f>'1.1.sz.mell. '!C106</f>
        <v>0</v>
      </c>
    </row>
    <row r="107" spans="1:4" ht="12" customHeight="1">
      <c r="A107" s="13" t="s">
        <v>316</v>
      </c>
      <c r="B107" s="91" t="s">
        <v>323</v>
      </c>
      <c r="C107" s="554"/>
      <c r="D107" s="730">
        <f>'1.1.sz.mell. '!C107</f>
        <v>0</v>
      </c>
    </row>
    <row r="108" spans="1:4" ht="12" customHeight="1">
      <c r="A108" s="12" t="s">
        <v>317</v>
      </c>
      <c r="B108" s="92" t="s">
        <v>324</v>
      </c>
      <c r="C108" s="554"/>
      <c r="D108" s="730">
        <f>'1.1.sz.mell. '!C108</f>
        <v>0</v>
      </c>
    </row>
    <row r="109" spans="1:4" ht="12" customHeight="1">
      <c r="A109" s="13" t="s">
        <v>532</v>
      </c>
      <c r="B109" s="92" t="s">
        <v>325</v>
      </c>
      <c r="C109" s="554"/>
      <c r="D109" s="730">
        <f>'1.1.sz.mell. '!C109</f>
        <v>0</v>
      </c>
    </row>
    <row r="110" spans="1:4" ht="12" customHeight="1">
      <c r="A110" s="15" t="s">
        <v>533</v>
      </c>
      <c r="B110" s="92" t="s">
        <v>326</v>
      </c>
      <c r="C110" s="554">
        <v>63902000</v>
      </c>
      <c r="D110" s="730">
        <f>'1.1.sz.mell. '!C110</f>
        <v>40665000</v>
      </c>
    </row>
    <row r="111" spans="1:4" ht="12" customHeight="1">
      <c r="A111" s="13" t="s">
        <v>534</v>
      </c>
      <c r="B111" s="10" t="s">
        <v>73</v>
      </c>
      <c r="C111" s="553">
        <v>84690000</v>
      </c>
      <c r="D111" s="730">
        <f>'1.1.sz.mell. '!C111</f>
        <v>111967657</v>
      </c>
    </row>
    <row r="112" spans="1:4" ht="12" customHeight="1">
      <c r="A112" s="13" t="s">
        <v>535</v>
      </c>
      <c r="B112" s="7" t="s">
        <v>536</v>
      </c>
      <c r="C112" s="553">
        <v>908000</v>
      </c>
      <c r="D112" s="730">
        <f>'1.1.sz.mell. '!C112</f>
        <v>10827687</v>
      </c>
    </row>
    <row r="113" spans="1:4" ht="12" customHeight="1" thickBot="1">
      <c r="A113" s="17" t="s">
        <v>537</v>
      </c>
      <c r="B113" s="468" t="s">
        <v>538</v>
      </c>
      <c r="C113" s="570">
        <v>83782000</v>
      </c>
      <c r="D113" s="731">
        <f>'1.1.sz.mell. '!C113</f>
        <v>101139970</v>
      </c>
    </row>
    <row r="114" spans="1:4" ht="12" customHeight="1" thickBot="1">
      <c r="A114" s="469" t="s">
        <v>42</v>
      </c>
      <c r="B114" s="470" t="s">
        <v>327</v>
      </c>
      <c r="C114" s="572">
        <f>+C115+C117+C119</f>
        <v>135468000</v>
      </c>
      <c r="D114" s="644">
        <f>'1.1.sz.mell. '!C114</f>
        <v>186850756</v>
      </c>
    </row>
    <row r="115" spans="1:4" ht="12" customHeight="1">
      <c r="A115" s="14" t="s">
        <v>123</v>
      </c>
      <c r="B115" s="7" t="s">
        <v>191</v>
      </c>
      <c r="C115" s="551">
        <v>78647000</v>
      </c>
      <c r="D115" s="729">
        <f>'1.1.sz.mell. '!C115</f>
        <v>62355363</v>
      </c>
    </row>
    <row r="116" spans="1:4" ht="15.75">
      <c r="A116" s="14" t="s">
        <v>124</v>
      </c>
      <c r="B116" s="11" t="s">
        <v>331</v>
      </c>
      <c r="C116" s="551"/>
      <c r="D116" s="730">
        <f>'1.1.sz.mell. '!C116</f>
        <v>14492698</v>
      </c>
    </row>
    <row r="117" spans="1:4" ht="12" customHeight="1">
      <c r="A117" s="14" t="s">
        <v>125</v>
      </c>
      <c r="B117" s="11" t="s">
        <v>175</v>
      </c>
      <c r="C117" s="553">
        <v>46476000</v>
      </c>
      <c r="D117" s="730">
        <f>'1.1.sz.mell. '!C117</f>
        <v>80023393</v>
      </c>
    </row>
    <row r="118" spans="1:4" ht="12" customHeight="1">
      <c r="A118" s="14" t="s">
        <v>126</v>
      </c>
      <c r="B118" s="11" t="s">
        <v>332</v>
      </c>
      <c r="C118" s="553"/>
      <c r="D118" s="730">
        <f>'1.1.sz.mell. '!C118</f>
        <v>53340000</v>
      </c>
    </row>
    <row r="119" spans="1:4" ht="12" customHeight="1">
      <c r="A119" s="14" t="s">
        <v>127</v>
      </c>
      <c r="B119" s="146" t="s">
        <v>193</v>
      </c>
      <c r="C119" s="553">
        <v>10345000</v>
      </c>
      <c r="D119" s="730">
        <f>'1.1.sz.mell. '!C119</f>
        <v>44472000</v>
      </c>
    </row>
    <row r="120" spans="1:4" ht="12" customHeight="1">
      <c r="A120" s="14" t="s">
        <v>136</v>
      </c>
      <c r="B120" s="145" t="s">
        <v>394</v>
      </c>
      <c r="C120" s="553"/>
      <c r="D120" s="730">
        <f>'1.1.sz.mell. '!C120</f>
        <v>0</v>
      </c>
    </row>
    <row r="121" spans="1:4" ht="12" customHeight="1">
      <c r="A121" s="14" t="s">
        <v>138</v>
      </c>
      <c r="B121" s="235" t="s">
        <v>337</v>
      </c>
      <c r="C121" s="553"/>
      <c r="D121" s="730">
        <f>'1.1.sz.mell. '!C121</f>
        <v>0</v>
      </c>
    </row>
    <row r="122" spans="1:4" ht="12" customHeight="1">
      <c r="A122" s="14" t="s">
        <v>176</v>
      </c>
      <c r="B122" s="91" t="s">
        <v>320</v>
      </c>
      <c r="C122" s="553"/>
      <c r="D122" s="730">
        <f>'1.1.sz.mell. '!C122</f>
        <v>0</v>
      </c>
    </row>
    <row r="123" spans="1:4" ht="12" customHeight="1">
      <c r="A123" s="14" t="s">
        <v>177</v>
      </c>
      <c r="B123" s="91" t="s">
        <v>336</v>
      </c>
      <c r="C123" s="553"/>
      <c r="D123" s="730">
        <f>'1.1.sz.mell. '!C123</f>
        <v>0</v>
      </c>
    </row>
    <row r="124" spans="1:4" ht="12" customHeight="1">
      <c r="A124" s="14" t="s">
        <v>178</v>
      </c>
      <c r="B124" s="91" t="s">
        <v>335</v>
      </c>
      <c r="C124" s="553"/>
      <c r="D124" s="730">
        <f>'1.1.sz.mell. '!C124</f>
        <v>0</v>
      </c>
    </row>
    <row r="125" spans="1:4" ht="12" customHeight="1">
      <c r="A125" s="14" t="s">
        <v>328</v>
      </c>
      <c r="B125" s="91" t="s">
        <v>323</v>
      </c>
      <c r="C125" s="553"/>
      <c r="D125" s="730">
        <f>'1.1.sz.mell. '!C125</f>
        <v>0</v>
      </c>
    </row>
    <row r="126" spans="1:4" ht="12" customHeight="1">
      <c r="A126" s="14" t="s">
        <v>329</v>
      </c>
      <c r="B126" s="91" t="s">
        <v>334</v>
      </c>
      <c r="C126" s="553"/>
      <c r="D126" s="730">
        <f>'1.1.sz.mell. '!C126</f>
        <v>0</v>
      </c>
    </row>
    <row r="127" spans="1:4" ht="12" customHeight="1" thickBot="1">
      <c r="A127" s="12" t="s">
        <v>330</v>
      </c>
      <c r="B127" s="91" t="s">
        <v>333</v>
      </c>
      <c r="C127" s="554">
        <v>10345000</v>
      </c>
      <c r="D127" s="731">
        <f>'1.1.sz.mell. '!C127</f>
        <v>44472000</v>
      </c>
    </row>
    <row r="128" spans="1:4" ht="12" customHeight="1" thickBot="1">
      <c r="A128" s="19" t="s">
        <v>43</v>
      </c>
      <c r="B128" s="86" t="s">
        <v>539</v>
      </c>
      <c r="C128" s="548">
        <f>+C93+C114</f>
        <v>3041611000</v>
      </c>
      <c r="D128" s="644">
        <f>'1.1.sz.mell. '!C128</f>
        <v>2801279533</v>
      </c>
    </row>
    <row r="129" spans="1:4" ht="12" customHeight="1" thickBot="1">
      <c r="A129" s="19" t="s">
        <v>44</v>
      </c>
      <c r="B129" s="86" t="s">
        <v>540</v>
      </c>
      <c r="C129" s="548">
        <f>+C130+C131+C132</f>
        <v>103545000</v>
      </c>
      <c r="D129" s="644">
        <f>'1.1.sz.mell. '!C129</f>
        <v>103161000</v>
      </c>
    </row>
    <row r="130" spans="1:4" ht="12" customHeight="1">
      <c r="A130" s="14" t="s">
        <v>228</v>
      </c>
      <c r="B130" s="11" t="s">
        <v>541</v>
      </c>
      <c r="C130" s="553">
        <v>3545000</v>
      </c>
      <c r="D130" s="729">
        <f>'1.1.sz.mell. '!C130</f>
        <v>3161000</v>
      </c>
    </row>
    <row r="131" spans="1:4" ht="12" customHeight="1">
      <c r="A131" s="14" t="s">
        <v>231</v>
      </c>
      <c r="B131" s="11" t="s">
        <v>542</v>
      </c>
      <c r="C131" s="553">
        <v>100000000</v>
      </c>
      <c r="D131" s="730">
        <f>'1.1.sz.mell. '!C131</f>
        <v>100000000</v>
      </c>
    </row>
    <row r="132" spans="1:4" ht="12" customHeight="1" thickBot="1">
      <c r="A132" s="12" t="s">
        <v>232</v>
      </c>
      <c r="B132" s="11" t="s">
        <v>543</v>
      </c>
      <c r="C132" s="553"/>
      <c r="D132" s="725">
        <f>'1.1.sz.mell. '!C132</f>
        <v>0</v>
      </c>
    </row>
    <row r="133" spans="1:4" ht="12" customHeight="1" thickBot="1">
      <c r="A133" s="19" t="s">
        <v>45</v>
      </c>
      <c r="B133" s="86" t="s">
        <v>544</v>
      </c>
      <c r="C133" s="548">
        <f>SUM(C134:C139)</f>
        <v>0</v>
      </c>
      <c r="D133" s="644">
        <f>'1.1.sz.mell. '!C133</f>
        <v>0</v>
      </c>
    </row>
    <row r="134" spans="1:4" ht="12" customHeight="1">
      <c r="A134" s="14" t="s">
        <v>110</v>
      </c>
      <c r="B134" s="8" t="s">
        <v>545</v>
      </c>
      <c r="C134" s="553"/>
      <c r="D134" s="723">
        <f>'1.1.sz.mell. '!C134</f>
        <v>0</v>
      </c>
    </row>
    <row r="135" spans="1:4" ht="12" customHeight="1">
      <c r="A135" s="14" t="s">
        <v>111</v>
      </c>
      <c r="B135" s="8" t="s">
        <v>546</v>
      </c>
      <c r="C135" s="553"/>
      <c r="D135" s="724">
        <f>'1.1.sz.mell. '!C135</f>
        <v>0</v>
      </c>
    </row>
    <row r="136" spans="1:4" ht="12" customHeight="1">
      <c r="A136" s="14" t="s">
        <v>112</v>
      </c>
      <c r="B136" s="8" t="s">
        <v>547</v>
      </c>
      <c r="C136" s="553"/>
      <c r="D136" s="724">
        <f>'1.1.sz.mell. '!C136</f>
        <v>0</v>
      </c>
    </row>
    <row r="137" spans="1:4" ht="12" customHeight="1">
      <c r="A137" s="14" t="s">
        <v>163</v>
      </c>
      <c r="B137" s="8" t="s">
        <v>548</v>
      </c>
      <c r="C137" s="553"/>
      <c r="D137" s="724">
        <f>'1.1.sz.mell. '!C137</f>
        <v>0</v>
      </c>
    </row>
    <row r="138" spans="1:4" ht="12" customHeight="1">
      <c r="A138" s="14" t="s">
        <v>164</v>
      </c>
      <c r="B138" s="8" t="s">
        <v>549</v>
      </c>
      <c r="C138" s="553"/>
      <c r="D138" s="724">
        <f>'1.1.sz.mell. '!C138</f>
        <v>0</v>
      </c>
    </row>
    <row r="139" spans="1:4" ht="12" customHeight="1" thickBot="1">
      <c r="A139" s="12" t="s">
        <v>165</v>
      </c>
      <c r="B139" s="8" t="s">
        <v>550</v>
      </c>
      <c r="C139" s="553"/>
      <c r="D139" s="725">
        <f>'1.1.sz.mell. '!C139</f>
        <v>0</v>
      </c>
    </row>
    <row r="140" spans="1:4" ht="12" customHeight="1" thickBot="1">
      <c r="A140" s="19" t="s">
        <v>46</v>
      </c>
      <c r="B140" s="86" t="s">
        <v>551</v>
      </c>
      <c r="C140" s="555">
        <f>+C141+C142+C143+C144</f>
        <v>33302000</v>
      </c>
      <c r="D140" s="644">
        <f>'1.1.sz.mell. '!C140</f>
        <v>35164932</v>
      </c>
    </row>
    <row r="141" spans="1:4" ht="12" customHeight="1">
      <c r="A141" s="14" t="s">
        <v>113</v>
      </c>
      <c r="B141" s="8" t="s">
        <v>338</v>
      </c>
      <c r="C141" s="553"/>
      <c r="D141" s="723">
        <f>'1.1.sz.mell. '!C141</f>
        <v>0</v>
      </c>
    </row>
    <row r="142" spans="1:4" ht="12" customHeight="1">
      <c r="A142" s="14" t="s">
        <v>114</v>
      </c>
      <c r="B142" s="8" t="s">
        <v>339</v>
      </c>
      <c r="C142" s="553">
        <v>33302000</v>
      </c>
      <c r="D142" s="730">
        <f>'1.1.sz.mell. '!C142</f>
        <v>35164932</v>
      </c>
    </row>
    <row r="143" spans="1:4" ht="12" customHeight="1">
      <c r="A143" s="14" t="s">
        <v>252</v>
      </c>
      <c r="B143" s="8" t="s">
        <v>552</v>
      </c>
      <c r="C143" s="553"/>
      <c r="D143" s="724">
        <f>'1.1.sz.mell. '!C143</f>
        <v>0</v>
      </c>
    </row>
    <row r="144" spans="1:4" ht="12" customHeight="1" thickBot="1">
      <c r="A144" s="12" t="s">
        <v>253</v>
      </c>
      <c r="B144" s="6" t="s">
        <v>357</v>
      </c>
      <c r="C144" s="553"/>
      <c r="D144" s="725">
        <f>'1.1.sz.mell. '!C144</f>
        <v>0</v>
      </c>
    </row>
    <row r="145" spans="1:4" ht="12" customHeight="1" thickBot="1">
      <c r="A145" s="19" t="s">
        <v>47</v>
      </c>
      <c r="B145" s="86" t="s">
        <v>553</v>
      </c>
      <c r="C145" s="573">
        <f>SUM(C146:C150)</f>
        <v>0</v>
      </c>
      <c r="D145" s="644">
        <f>'1.1.sz.mell. '!C145</f>
        <v>0</v>
      </c>
    </row>
    <row r="146" spans="1:4" ht="12" customHeight="1">
      <c r="A146" s="14" t="s">
        <v>115</v>
      </c>
      <c r="B146" s="8" t="s">
        <v>554</v>
      </c>
      <c r="C146" s="553"/>
      <c r="D146" s="723">
        <f>'1.1.sz.mell. '!C146</f>
        <v>0</v>
      </c>
    </row>
    <row r="147" spans="1:4" ht="12" customHeight="1">
      <c r="A147" s="14" t="s">
        <v>116</v>
      </c>
      <c r="B147" s="8" t="s">
        <v>555</v>
      </c>
      <c r="C147" s="553"/>
      <c r="D147" s="724">
        <f>'1.1.sz.mell. '!C147</f>
        <v>0</v>
      </c>
    </row>
    <row r="148" spans="1:4" ht="12" customHeight="1">
      <c r="A148" s="14" t="s">
        <v>264</v>
      </c>
      <c r="B148" s="8" t="s">
        <v>556</v>
      </c>
      <c r="C148" s="553"/>
      <c r="D148" s="724">
        <f>'1.1.sz.mell. '!C148</f>
        <v>0</v>
      </c>
    </row>
    <row r="149" spans="1:4" ht="12" customHeight="1">
      <c r="A149" s="14" t="s">
        <v>265</v>
      </c>
      <c r="B149" s="8" t="s">
        <v>557</v>
      </c>
      <c r="C149" s="553"/>
      <c r="D149" s="724">
        <f>'1.1.sz.mell. '!C149</f>
        <v>0</v>
      </c>
    </row>
    <row r="150" spans="1:4" ht="12" customHeight="1" thickBot="1">
      <c r="A150" s="14" t="s">
        <v>558</v>
      </c>
      <c r="B150" s="8" t="s">
        <v>559</v>
      </c>
      <c r="C150" s="553"/>
      <c r="D150" s="725">
        <f>'1.1.sz.mell. '!C150</f>
        <v>0</v>
      </c>
    </row>
    <row r="151" spans="1:4" ht="12" customHeight="1" thickBot="1">
      <c r="A151" s="19" t="s">
        <v>48</v>
      </c>
      <c r="B151" s="86" t="s">
        <v>560</v>
      </c>
      <c r="C151" s="575"/>
      <c r="D151" s="644">
        <f>'1.1.sz.mell. '!C151</f>
        <v>0</v>
      </c>
    </row>
    <row r="152" spans="1:4" ht="12" customHeight="1" thickBot="1">
      <c r="A152" s="19" t="s">
        <v>49</v>
      </c>
      <c r="B152" s="86" t="s">
        <v>561</v>
      </c>
      <c r="C152" s="575"/>
      <c r="D152" s="644">
        <f>'1.1.sz.mell. '!C152</f>
        <v>0</v>
      </c>
    </row>
    <row r="153" spans="1:4" ht="15" customHeight="1" thickBot="1">
      <c r="A153" s="19" t="s">
        <v>50</v>
      </c>
      <c r="B153" s="86" t="s">
        <v>562</v>
      </c>
      <c r="C153" s="576">
        <f>+C129+C133+C140+C145+C151+C152</f>
        <v>136847000</v>
      </c>
      <c r="D153" s="644">
        <f>'1.1.sz.mell. '!C153</f>
        <v>138325932</v>
      </c>
    </row>
    <row r="154" spans="1:4" s="550" customFormat="1" ht="12.75" customHeight="1" thickBot="1">
      <c r="A154" s="147" t="s">
        <v>51</v>
      </c>
      <c r="B154" s="224" t="s">
        <v>563</v>
      </c>
      <c r="C154" s="576">
        <f>+C128+C153</f>
        <v>3178458000</v>
      </c>
      <c r="D154" s="644">
        <f>'1.1.sz.mell. '!C154</f>
        <v>2939605465</v>
      </c>
    </row>
    <row r="158" ht="16.5" customHeight="1"/>
  </sheetData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&amp;R29. melléklet a 11/2017.(III.30.)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86">
      <selection activeCell="D89" sqref="D1:F16384"/>
    </sheetView>
  </sheetViews>
  <sheetFormatPr defaultColWidth="9.00390625" defaultRowHeight="12.75"/>
  <cols>
    <col min="1" max="1" width="9.50390625" style="225" customWidth="1"/>
    <col min="2" max="2" width="83.875" style="225" customWidth="1"/>
    <col min="3" max="3" width="21.625" style="226" customWidth="1"/>
    <col min="4" max="4" width="19.375" style="236" hidden="1" customWidth="1"/>
    <col min="5" max="5" width="15.875" style="236" hidden="1" customWidth="1"/>
    <col min="6" max="6" width="15.375" style="236" hidden="1" customWidth="1"/>
    <col min="7" max="16384" width="9.375" style="236" customWidth="1"/>
  </cols>
  <sheetData>
    <row r="1" spans="1:3" ht="15.75" customHeight="1">
      <c r="A1" s="735" t="s">
        <v>38</v>
      </c>
      <c r="B1" s="735"/>
      <c r="C1" s="735"/>
    </row>
    <row r="2" spans="1:3" ht="15.75" customHeight="1" thickBot="1">
      <c r="A2" s="738"/>
      <c r="B2" s="738"/>
      <c r="C2" s="158" t="s">
        <v>667</v>
      </c>
    </row>
    <row r="3" spans="1:6" ht="37.5" customHeight="1" thickBot="1">
      <c r="A3" s="22" t="s">
        <v>92</v>
      </c>
      <c r="B3" s="23" t="s">
        <v>40</v>
      </c>
      <c r="C3" s="36" t="s">
        <v>652</v>
      </c>
      <c r="D3" s="225" t="s">
        <v>694</v>
      </c>
      <c r="E3" s="225" t="s">
        <v>695</v>
      </c>
      <c r="F3" s="225" t="s">
        <v>696</v>
      </c>
    </row>
    <row r="4" spans="1:3" s="237" customFormat="1" ht="12" customHeight="1" thickBot="1">
      <c r="A4" s="231" t="s">
        <v>512</v>
      </c>
      <c r="B4" s="232" t="s">
        <v>513</v>
      </c>
      <c r="C4" s="233" t="s">
        <v>514</v>
      </c>
    </row>
    <row r="5" spans="1:6" s="238" customFormat="1" ht="12" customHeight="1" thickBot="1">
      <c r="A5" s="19" t="s">
        <v>41</v>
      </c>
      <c r="B5" s="20" t="s">
        <v>212</v>
      </c>
      <c r="C5" s="154">
        <f>SUM(D5:F5)</f>
        <v>143500069</v>
      </c>
      <c r="D5" s="549">
        <f>+D6+D7+D8+D9+D10+D11</f>
        <v>143500069</v>
      </c>
      <c r="E5" s="149">
        <f>+E6+E7+E8+E9+E10+E11</f>
        <v>0</v>
      </c>
      <c r="F5" s="149">
        <f>+F6+F7+F8+F9+F10+F11</f>
        <v>0</v>
      </c>
    </row>
    <row r="6" spans="1:6" s="238" customFormat="1" ht="12" customHeight="1">
      <c r="A6" s="14" t="s">
        <v>117</v>
      </c>
      <c r="B6" s="239" t="s">
        <v>213</v>
      </c>
      <c r="C6" s="697">
        <f aca="true" t="shared" si="0" ref="C6:C69">SUM(D6:F6)</f>
        <v>0</v>
      </c>
      <c r="D6" s="552"/>
      <c r="E6" s="277"/>
      <c r="F6" s="151"/>
    </row>
    <row r="7" spans="1:6" s="238" customFormat="1" ht="12" customHeight="1">
      <c r="A7" s="13" t="s">
        <v>118</v>
      </c>
      <c r="B7" s="240" t="s">
        <v>214</v>
      </c>
      <c r="C7" s="698">
        <f t="shared" si="0"/>
        <v>0</v>
      </c>
      <c r="D7" s="135"/>
      <c r="E7" s="153"/>
      <c r="F7" s="150"/>
    </row>
    <row r="8" spans="1:6" s="238" customFormat="1" ht="12" customHeight="1">
      <c r="A8" s="13" t="s">
        <v>119</v>
      </c>
      <c r="B8" s="240" t="s">
        <v>639</v>
      </c>
      <c r="C8" s="698">
        <f t="shared" si="0"/>
        <v>133985360</v>
      </c>
      <c r="D8" s="135">
        <f>118423160+15562200</f>
        <v>133985360</v>
      </c>
      <c r="E8" s="153"/>
      <c r="F8" s="150"/>
    </row>
    <row r="9" spans="1:6" s="238" customFormat="1" ht="12" customHeight="1">
      <c r="A9" s="13" t="s">
        <v>120</v>
      </c>
      <c r="B9" s="240" t="s">
        <v>216</v>
      </c>
      <c r="C9" s="698">
        <f t="shared" si="0"/>
        <v>0</v>
      </c>
      <c r="D9" s="135"/>
      <c r="E9" s="153"/>
      <c r="F9" s="150"/>
    </row>
    <row r="10" spans="1:6" s="238" customFormat="1" ht="12" customHeight="1">
      <c r="A10" s="13" t="s">
        <v>147</v>
      </c>
      <c r="B10" s="145" t="s">
        <v>515</v>
      </c>
      <c r="C10" s="698">
        <f t="shared" si="0"/>
        <v>9514709</v>
      </c>
      <c r="D10" s="488">
        <f>9514709</f>
        <v>9514709</v>
      </c>
      <c r="E10" s="153"/>
      <c r="F10" s="153"/>
    </row>
    <row r="11" spans="1:6" s="238" customFormat="1" ht="12" customHeight="1" thickBot="1">
      <c r="A11" s="15" t="s">
        <v>121</v>
      </c>
      <c r="B11" s="146" t="s">
        <v>516</v>
      </c>
      <c r="C11" s="699">
        <f t="shared" si="0"/>
        <v>0</v>
      </c>
      <c r="D11" s="135"/>
      <c r="E11" s="150"/>
      <c r="F11" s="150"/>
    </row>
    <row r="12" spans="1:6" s="238" customFormat="1" ht="12" customHeight="1" thickBot="1">
      <c r="A12" s="19" t="s">
        <v>42</v>
      </c>
      <c r="B12" s="144" t="s">
        <v>217</v>
      </c>
      <c r="C12" s="154">
        <f t="shared" si="0"/>
        <v>118216000</v>
      </c>
      <c r="D12" s="549">
        <f>+D13+D14+D15+D16+D17</f>
        <v>112731000</v>
      </c>
      <c r="E12" s="149">
        <f>+E13+E14+E15+E16+E17</f>
        <v>0</v>
      </c>
      <c r="F12" s="149">
        <f>+F13+F14+F15+F16+F17</f>
        <v>5485000</v>
      </c>
    </row>
    <row r="13" spans="1:6" s="238" customFormat="1" ht="12" customHeight="1">
      <c r="A13" s="14" t="s">
        <v>123</v>
      </c>
      <c r="B13" s="239" t="s">
        <v>218</v>
      </c>
      <c r="C13" s="697">
        <f t="shared" si="0"/>
        <v>0</v>
      </c>
      <c r="D13" s="552"/>
      <c r="E13" s="151"/>
      <c r="F13" s="151"/>
    </row>
    <row r="14" spans="1:6" s="238" customFormat="1" ht="12" customHeight="1">
      <c r="A14" s="13" t="s">
        <v>124</v>
      </c>
      <c r="B14" s="240" t="s">
        <v>219</v>
      </c>
      <c r="C14" s="698">
        <f t="shared" si="0"/>
        <v>0</v>
      </c>
      <c r="D14" s="135"/>
      <c r="E14" s="150"/>
      <c r="F14" s="150"/>
    </row>
    <row r="15" spans="1:6" s="238" customFormat="1" ht="12" customHeight="1">
      <c r="A15" s="13" t="s">
        <v>125</v>
      </c>
      <c r="B15" s="240" t="s">
        <v>388</v>
      </c>
      <c r="C15" s="698">
        <f t="shared" si="0"/>
        <v>0</v>
      </c>
      <c r="D15" s="135"/>
      <c r="E15" s="150"/>
      <c r="F15" s="150"/>
    </row>
    <row r="16" spans="1:6" s="238" customFormat="1" ht="12" customHeight="1">
      <c r="A16" s="13" t="s">
        <v>126</v>
      </c>
      <c r="B16" s="240" t="s">
        <v>389</v>
      </c>
      <c r="C16" s="698">
        <f t="shared" si="0"/>
        <v>0</v>
      </c>
      <c r="D16" s="135"/>
      <c r="E16" s="150"/>
      <c r="F16" s="150"/>
    </row>
    <row r="17" spans="1:6" s="238" customFormat="1" ht="12" customHeight="1">
      <c r="A17" s="13" t="s">
        <v>127</v>
      </c>
      <c r="B17" s="240" t="s">
        <v>220</v>
      </c>
      <c r="C17" s="698">
        <f t="shared" si="0"/>
        <v>118216000</v>
      </c>
      <c r="D17" s="488">
        <f>2285000+110446000</f>
        <v>112731000</v>
      </c>
      <c r="E17" s="492"/>
      <c r="F17" s="153">
        <v>5485000</v>
      </c>
    </row>
    <row r="18" spans="1:6" s="238" customFormat="1" ht="12" customHeight="1" thickBot="1">
      <c r="A18" s="15" t="s">
        <v>136</v>
      </c>
      <c r="B18" s="146" t="s">
        <v>221</v>
      </c>
      <c r="C18" s="699">
        <f t="shared" si="0"/>
        <v>0</v>
      </c>
      <c r="D18" s="499"/>
      <c r="E18" s="228"/>
      <c r="F18" s="228"/>
    </row>
    <row r="19" spans="1:6" s="238" customFormat="1" ht="12" customHeight="1" thickBot="1">
      <c r="A19" s="19" t="s">
        <v>43</v>
      </c>
      <c r="B19" s="20" t="s">
        <v>222</v>
      </c>
      <c r="C19" s="491">
        <f t="shared" si="0"/>
        <v>0</v>
      </c>
      <c r="D19" s="549">
        <f>+D20+D21+D22+D23+D24</f>
        <v>0</v>
      </c>
      <c r="E19" s="149">
        <f>+E20+E21+E22+E23+E24</f>
        <v>0</v>
      </c>
      <c r="F19" s="149">
        <f>+F20+F21+F22+F23+F24</f>
        <v>0</v>
      </c>
    </row>
    <row r="20" spans="1:6" s="238" customFormat="1" ht="12" customHeight="1">
      <c r="A20" s="14" t="s">
        <v>106</v>
      </c>
      <c r="B20" s="239" t="s">
        <v>223</v>
      </c>
      <c r="C20" s="697">
        <f t="shared" si="0"/>
        <v>0</v>
      </c>
      <c r="D20" s="552"/>
      <c r="E20" s="486"/>
      <c r="F20" s="151"/>
    </row>
    <row r="21" spans="1:6" s="238" customFormat="1" ht="12" customHeight="1">
      <c r="A21" s="13" t="s">
        <v>107</v>
      </c>
      <c r="B21" s="240" t="s">
        <v>224</v>
      </c>
      <c r="C21" s="698">
        <f t="shared" si="0"/>
        <v>0</v>
      </c>
      <c r="D21" s="135"/>
      <c r="E21" s="153"/>
      <c r="F21" s="150"/>
    </row>
    <row r="22" spans="1:6" s="238" customFormat="1" ht="12" customHeight="1">
      <c r="A22" s="13" t="s">
        <v>108</v>
      </c>
      <c r="B22" s="240" t="s">
        <v>390</v>
      </c>
      <c r="C22" s="698">
        <f t="shared" si="0"/>
        <v>0</v>
      </c>
      <c r="D22" s="135"/>
      <c r="E22" s="153"/>
      <c r="F22" s="150"/>
    </row>
    <row r="23" spans="1:6" s="238" customFormat="1" ht="12" customHeight="1">
      <c r="A23" s="13" t="s">
        <v>109</v>
      </c>
      <c r="B23" s="240" t="s">
        <v>391</v>
      </c>
      <c r="C23" s="698">
        <f t="shared" si="0"/>
        <v>0</v>
      </c>
      <c r="D23" s="135"/>
      <c r="E23" s="153"/>
      <c r="F23" s="150"/>
    </row>
    <row r="24" spans="1:6" s="238" customFormat="1" ht="12" customHeight="1">
      <c r="A24" s="13" t="s">
        <v>159</v>
      </c>
      <c r="B24" s="240" t="s">
        <v>225</v>
      </c>
      <c r="C24" s="698">
        <f t="shared" si="0"/>
        <v>0</v>
      </c>
      <c r="D24" s="488"/>
      <c r="E24" s="153"/>
      <c r="F24" s="153"/>
    </row>
    <row r="25" spans="1:6" s="238" customFormat="1" ht="12" customHeight="1" thickBot="1">
      <c r="A25" s="15" t="s">
        <v>160</v>
      </c>
      <c r="B25" s="241" t="s">
        <v>226</v>
      </c>
      <c r="C25" s="699">
        <f t="shared" si="0"/>
        <v>0</v>
      </c>
      <c r="D25" s="499"/>
      <c r="E25" s="228"/>
      <c r="F25" s="228"/>
    </row>
    <row r="26" spans="1:6" s="238" customFormat="1" ht="12" customHeight="1" thickBot="1">
      <c r="A26" s="19" t="s">
        <v>161</v>
      </c>
      <c r="B26" s="20" t="s">
        <v>227</v>
      </c>
      <c r="C26" s="491">
        <f t="shared" si="0"/>
        <v>0</v>
      </c>
      <c r="D26" s="556">
        <f>+D27+D31+D32+D33</f>
        <v>0</v>
      </c>
      <c r="E26" s="154">
        <f>+E27+E31+E32+E33</f>
        <v>0</v>
      </c>
      <c r="F26" s="154">
        <f>+F27+F31+F32+F33</f>
        <v>0</v>
      </c>
    </row>
    <row r="27" spans="1:6" s="238" customFormat="1" ht="12" customHeight="1">
      <c r="A27" s="14" t="s">
        <v>228</v>
      </c>
      <c r="B27" s="239" t="s">
        <v>517</v>
      </c>
      <c r="C27" s="697">
        <f t="shared" si="0"/>
        <v>0</v>
      </c>
      <c r="D27" s="640">
        <f>+D28+D29+D30</f>
        <v>0</v>
      </c>
      <c r="E27" s="234"/>
      <c r="F27" s="234">
        <f>+F28+F29+F30</f>
        <v>0</v>
      </c>
    </row>
    <row r="28" spans="1:6" s="238" customFormat="1" ht="12" customHeight="1">
      <c r="A28" s="13" t="s">
        <v>229</v>
      </c>
      <c r="B28" s="240" t="s">
        <v>234</v>
      </c>
      <c r="C28" s="698">
        <f t="shared" si="0"/>
        <v>0</v>
      </c>
      <c r="D28" s="135"/>
      <c r="E28" s="150"/>
      <c r="F28" s="150"/>
    </row>
    <row r="29" spans="1:6" s="238" customFormat="1" ht="12" customHeight="1">
      <c r="A29" s="13" t="s">
        <v>230</v>
      </c>
      <c r="B29" s="240" t="s">
        <v>235</v>
      </c>
      <c r="C29" s="698">
        <f t="shared" si="0"/>
        <v>0</v>
      </c>
      <c r="D29" s="135"/>
      <c r="E29" s="150"/>
      <c r="F29" s="150"/>
    </row>
    <row r="30" spans="1:6" s="238" customFormat="1" ht="12" customHeight="1">
      <c r="A30" s="13" t="s">
        <v>518</v>
      </c>
      <c r="B30" s="463" t="s">
        <v>519</v>
      </c>
      <c r="C30" s="698">
        <f t="shared" si="0"/>
        <v>0</v>
      </c>
      <c r="D30" s="135"/>
      <c r="E30" s="153"/>
      <c r="F30" s="150"/>
    </row>
    <row r="31" spans="1:6" s="238" customFormat="1" ht="12" customHeight="1">
      <c r="A31" s="13" t="s">
        <v>231</v>
      </c>
      <c r="B31" s="240" t="s">
        <v>236</v>
      </c>
      <c r="C31" s="698">
        <f t="shared" si="0"/>
        <v>0</v>
      </c>
      <c r="D31" s="135"/>
      <c r="E31" s="150"/>
      <c r="F31" s="150"/>
    </row>
    <row r="32" spans="1:6" s="238" customFormat="1" ht="12" customHeight="1">
      <c r="A32" s="13" t="s">
        <v>232</v>
      </c>
      <c r="B32" s="240" t="s">
        <v>237</v>
      </c>
      <c r="C32" s="698">
        <f t="shared" si="0"/>
        <v>0</v>
      </c>
      <c r="D32" s="135"/>
      <c r="E32" s="150"/>
      <c r="F32" s="150"/>
    </row>
    <row r="33" spans="1:6" s="238" customFormat="1" ht="12" customHeight="1" thickBot="1">
      <c r="A33" s="15" t="s">
        <v>233</v>
      </c>
      <c r="B33" s="241" t="s">
        <v>238</v>
      </c>
      <c r="C33" s="699">
        <f t="shared" si="0"/>
        <v>0</v>
      </c>
      <c r="D33" s="136"/>
      <c r="E33" s="228"/>
      <c r="F33" s="152"/>
    </row>
    <row r="34" spans="1:6" s="238" customFormat="1" ht="12" customHeight="1" thickBot="1">
      <c r="A34" s="19" t="s">
        <v>45</v>
      </c>
      <c r="B34" s="20" t="s">
        <v>520</v>
      </c>
      <c r="C34" s="154">
        <f t="shared" si="0"/>
        <v>218075402</v>
      </c>
      <c r="D34" s="549">
        <f>SUM(D35:D45)</f>
        <v>5234000</v>
      </c>
      <c r="E34" s="149">
        <f>SUM(E35:E45)</f>
        <v>635000</v>
      </c>
      <c r="F34" s="149">
        <f>SUM(F35:F45)</f>
        <v>212206402</v>
      </c>
    </row>
    <row r="35" spans="1:6" s="238" customFormat="1" ht="12" customHeight="1">
      <c r="A35" s="14" t="s">
        <v>110</v>
      </c>
      <c r="B35" s="239" t="s">
        <v>241</v>
      </c>
      <c r="C35" s="697">
        <f t="shared" si="0"/>
        <v>3937000</v>
      </c>
      <c r="D35" s="552">
        <v>3937000</v>
      </c>
      <c r="E35" s="277"/>
      <c r="F35" s="151"/>
    </row>
    <row r="36" spans="1:6" s="238" customFormat="1" ht="12" customHeight="1">
      <c r="A36" s="13" t="s">
        <v>111</v>
      </c>
      <c r="B36" s="240" t="s">
        <v>242</v>
      </c>
      <c r="C36" s="698">
        <f t="shared" si="0"/>
        <v>40507932</v>
      </c>
      <c r="D36" s="488">
        <f>160000</f>
        <v>160000</v>
      </c>
      <c r="E36" s="153">
        <v>500000</v>
      </c>
      <c r="F36" s="151">
        <v>39847932</v>
      </c>
    </row>
    <row r="37" spans="1:6" s="238" customFormat="1" ht="12" customHeight="1">
      <c r="A37" s="13" t="s">
        <v>112</v>
      </c>
      <c r="B37" s="240" t="s">
        <v>243</v>
      </c>
      <c r="C37" s="698">
        <f t="shared" si="0"/>
        <v>10525000</v>
      </c>
      <c r="D37" s="488"/>
      <c r="E37" s="153"/>
      <c r="F37" s="151">
        <v>10525000</v>
      </c>
    </row>
    <row r="38" spans="1:6" s="238" customFormat="1" ht="12" customHeight="1">
      <c r="A38" s="13" t="s">
        <v>163</v>
      </c>
      <c r="B38" s="240" t="s">
        <v>244</v>
      </c>
      <c r="C38" s="698">
        <f t="shared" si="0"/>
        <v>0</v>
      </c>
      <c r="D38" s="135"/>
      <c r="E38" s="153"/>
      <c r="F38" s="151"/>
    </row>
    <row r="39" spans="1:6" s="238" customFormat="1" ht="12" customHeight="1">
      <c r="A39" s="13" t="s">
        <v>164</v>
      </c>
      <c r="B39" s="240" t="s">
        <v>245</v>
      </c>
      <c r="C39" s="698">
        <f t="shared" si="0"/>
        <v>158991720</v>
      </c>
      <c r="D39" s="135"/>
      <c r="E39" s="153"/>
      <c r="F39" s="151">
        <v>158991720</v>
      </c>
    </row>
    <row r="40" spans="1:6" s="238" customFormat="1" ht="12" customHeight="1">
      <c r="A40" s="13" t="s">
        <v>165</v>
      </c>
      <c r="B40" s="240" t="s">
        <v>246</v>
      </c>
      <c r="C40" s="698">
        <f t="shared" si="0"/>
        <v>4083750</v>
      </c>
      <c r="D40" s="135">
        <f>1063000+44000</f>
        <v>1107000</v>
      </c>
      <c r="E40" s="153">
        <v>135000</v>
      </c>
      <c r="F40" s="151">
        <v>2841750</v>
      </c>
    </row>
    <row r="41" spans="1:6" s="238" customFormat="1" ht="12" customHeight="1">
      <c r="A41" s="13" t="s">
        <v>166</v>
      </c>
      <c r="B41" s="240" t="s">
        <v>247</v>
      </c>
      <c r="C41" s="698">
        <f t="shared" si="0"/>
        <v>0</v>
      </c>
      <c r="D41" s="135"/>
      <c r="E41" s="153"/>
      <c r="F41" s="151"/>
    </row>
    <row r="42" spans="1:6" s="238" customFormat="1" ht="12" customHeight="1">
      <c r="A42" s="13" t="s">
        <v>167</v>
      </c>
      <c r="B42" s="240" t="s">
        <v>636</v>
      </c>
      <c r="C42" s="698">
        <f t="shared" si="0"/>
        <v>30000</v>
      </c>
      <c r="D42" s="135">
        <v>30000</v>
      </c>
      <c r="E42" s="153"/>
      <c r="F42" s="153"/>
    </row>
    <row r="43" spans="1:6" s="238" customFormat="1" ht="12" customHeight="1">
      <c r="A43" s="13" t="s">
        <v>239</v>
      </c>
      <c r="B43" s="240" t="s">
        <v>249</v>
      </c>
      <c r="C43" s="698">
        <f t="shared" si="0"/>
        <v>0</v>
      </c>
      <c r="D43" s="488"/>
      <c r="E43" s="153"/>
      <c r="F43" s="153"/>
    </row>
    <row r="44" spans="1:6" s="238" customFormat="1" ht="12" customHeight="1">
      <c r="A44" s="15" t="s">
        <v>240</v>
      </c>
      <c r="B44" s="241" t="s">
        <v>521</v>
      </c>
      <c r="C44" s="698">
        <f t="shared" si="0"/>
        <v>0</v>
      </c>
      <c r="D44" s="499"/>
      <c r="E44" s="228"/>
      <c r="F44" s="228"/>
    </row>
    <row r="45" spans="1:6" s="238" customFormat="1" ht="12" customHeight="1" thickBot="1">
      <c r="A45" s="15" t="s">
        <v>522</v>
      </c>
      <c r="B45" s="146" t="s">
        <v>250</v>
      </c>
      <c r="C45" s="699">
        <f t="shared" si="0"/>
        <v>0</v>
      </c>
      <c r="D45" s="499"/>
      <c r="E45" s="228"/>
      <c r="F45" s="228"/>
    </row>
    <row r="46" spans="1:6" s="238" customFormat="1" ht="12" customHeight="1" thickBot="1">
      <c r="A46" s="19" t="s">
        <v>46</v>
      </c>
      <c r="B46" s="20" t="s">
        <v>251</v>
      </c>
      <c r="C46" s="154">
        <f t="shared" si="0"/>
        <v>0</v>
      </c>
      <c r="D46" s="549">
        <f>SUM(D47:D51)</f>
        <v>0</v>
      </c>
      <c r="E46" s="149">
        <f>SUM(E47:E51)</f>
        <v>0</v>
      </c>
      <c r="F46" s="149">
        <f>SUM(F47:F51)</f>
        <v>0</v>
      </c>
    </row>
    <row r="47" spans="1:6" s="238" customFormat="1" ht="12" customHeight="1">
      <c r="A47" s="14" t="s">
        <v>113</v>
      </c>
      <c r="B47" s="239" t="s">
        <v>255</v>
      </c>
      <c r="C47" s="697">
        <f t="shared" si="0"/>
        <v>0</v>
      </c>
      <c r="D47" s="560"/>
      <c r="E47" s="277"/>
      <c r="F47" s="277"/>
    </row>
    <row r="48" spans="1:6" s="238" customFormat="1" ht="12" customHeight="1">
      <c r="A48" s="13" t="s">
        <v>114</v>
      </c>
      <c r="B48" s="240" t="s">
        <v>256</v>
      </c>
      <c r="C48" s="698">
        <f t="shared" si="0"/>
        <v>0</v>
      </c>
      <c r="D48" s="488"/>
      <c r="E48" s="153"/>
      <c r="F48" s="153"/>
    </row>
    <row r="49" spans="1:6" s="238" customFormat="1" ht="12" customHeight="1">
      <c r="A49" s="13" t="s">
        <v>252</v>
      </c>
      <c r="B49" s="240" t="s">
        <v>257</v>
      </c>
      <c r="C49" s="698">
        <f t="shared" si="0"/>
        <v>0</v>
      </c>
      <c r="D49" s="488"/>
      <c r="E49" s="153"/>
      <c r="F49" s="153"/>
    </row>
    <row r="50" spans="1:6" s="238" customFormat="1" ht="12" customHeight="1">
      <c r="A50" s="13" t="s">
        <v>253</v>
      </c>
      <c r="B50" s="240" t="s">
        <v>258</v>
      </c>
      <c r="C50" s="698">
        <f t="shared" si="0"/>
        <v>0</v>
      </c>
      <c r="D50" s="488"/>
      <c r="E50" s="153"/>
      <c r="F50" s="153"/>
    </row>
    <row r="51" spans="1:6" s="238" customFormat="1" ht="12" customHeight="1" thickBot="1">
      <c r="A51" s="15" t="s">
        <v>254</v>
      </c>
      <c r="B51" s="146" t="s">
        <v>259</v>
      </c>
      <c r="C51" s="699">
        <f t="shared" si="0"/>
        <v>0</v>
      </c>
      <c r="D51" s="499"/>
      <c r="E51" s="228"/>
      <c r="F51" s="228"/>
    </row>
    <row r="52" spans="1:6" s="238" customFormat="1" ht="12" customHeight="1" thickBot="1">
      <c r="A52" s="19" t="s">
        <v>168</v>
      </c>
      <c r="B52" s="20" t="s">
        <v>260</v>
      </c>
      <c r="C52" s="154">
        <f t="shared" si="0"/>
        <v>1566000</v>
      </c>
      <c r="D52" s="549">
        <f>SUM(D53:D55)</f>
        <v>1566000</v>
      </c>
      <c r="E52" s="149">
        <f>SUM(E53:E55)</f>
        <v>0</v>
      </c>
      <c r="F52" s="149">
        <f>SUM(F53:F55)</f>
        <v>0</v>
      </c>
    </row>
    <row r="53" spans="1:6" s="238" customFormat="1" ht="12" customHeight="1">
      <c r="A53" s="14" t="s">
        <v>115</v>
      </c>
      <c r="B53" s="239" t="s">
        <v>261</v>
      </c>
      <c r="C53" s="697">
        <f t="shared" si="0"/>
        <v>0</v>
      </c>
      <c r="D53" s="552"/>
      <c r="E53" s="151"/>
      <c r="F53" s="151"/>
    </row>
    <row r="54" spans="1:6" s="238" customFormat="1" ht="12" customHeight="1">
      <c r="A54" s="13" t="s">
        <v>116</v>
      </c>
      <c r="B54" s="240" t="s">
        <v>392</v>
      </c>
      <c r="C54" s="698">
        <f t="shared" si="0"/>
        <v>1566000</v>
      </c>
      <c r="D54" s="488">
        <v>1566000</v>
      </c>
      <c r="E54" s="153"/>
      <c r="F54" s="153"/>
    </row>
    <row r="55" spans="1:6" s="238" customFormat="1" ht="12" customHeight="1">
      <c r="A55" s="13" t="s">
        <v>264</v>
      </c>
      <c r="B55" s="240" t="s">
        <v>262</v>
      </c>
      <c r="C55" s="698">
        <f t="shared" si="0"/>
        <v>0</v>
      </c>
      <c r="D55" s="488"/>
      <c r="E55" s="153"/>
      <c r="F55" s="153"/>
    </row>
    <row r="56" spans="1:6" s="238" customFormat="1" ht="12" customHeight="1" thickBot="1">
      <c r="A56" s="15" t="s">
        <v>265</v>
      </c>
      <c r="B56" s="146" t="s">
        <v>263</v>
      </c>
      <c r="C56" s="699">
        <f t="shared" si="0"/>
        <v>0</v>
      </c>
      <c r="D56" s="136"/>
      <c r="E56" s="152"/>
      <c r="F56" s="152"/>
    </row>
    <row r="57" spans="1:6" s="238" customFormat="1" ht="12" customHeight="1" thickBot="1">
      <c r="A57" s="19" t="s">
        <v>48</v>
      </c>
      <c r="B57" s="144" t="s">
        <v>266</v>
      </c>
      <c r="C57" s="154">
        <f t="shared" si="0"/>
        <v>0</v>
      </c>
      <c r="D57" s="549">
        <f>SUM(D58:D60)</f>
        <v>0</v>
      </c>
      <c r="E57" s="149">
        <f>SUM(E58:E60)</f>
        <v>0</v>
      </c>
      <c r="F57" s="149">
        <f>SUM(F58:F60)</f>
        <v>0</v>
      </c>
    </row>
    <row r="58" spans="1:6" s="238" customFormat="1" ht="12" customHeight="1">
      <c r="A58" s="14" t="s">
        <v>169</v>
      </c>
      <c r="B58" s="239" t="s">
        <v>268</v>
      </c>
      <c r="C58" s="697">
        <f t="shared" si="0"/>
        <v>0</v>
      </c>
      <c r="D58" s="488"/>
      <c r="E58" s="153"/>
      <c r="F58" s="153"/>
    </row>
    <row r="59" spans="1:6" s="238" customFormat="1" ht="12" customHeight="1">
      <c r="A59" s="13" t="s">
        <v>170</v>
      </c>
      <c r="B59" s="240" t="s">
        <v>393</v>
      </c>
      <c r="C59" s="698">
        <f t="shared" si="0"/>
        <v>0</v>
      </c>
      <c r="D59" s="488"/>
      <c r="E59" s="153"/>
      <c r="F59" s="153"/>
    </row>
    <row r="60" spans="1:6" s="238" customFormat="1" ht="12" customHeight="1">
      <c r="A60" s="13" t="s">
        <v>192</v>
      </c>
      <c r="B60" s="240" t="s">
        <v>269</v>
      </c>
      <c r="C60" s="698">
        <f t="shared" si="0"/>
        <v>0</v>
      </c>
      <c r="D60" s="488"/>
      <c r="E60" s="153"/>
      <c r="F60" s="153"/>
    </row>
    <row r="61" spans="1:6" s="238" customFormat="1" ht="12" customHeight="1" thickBot="1">
      <c r="A61" s="15" t="s">
        <v>267</v>
      </c>
      <c r="B61" s="146" t="s">
        <v>270</v>
      </c>
      <c r="C61" s="699">
        <f t="shared" si="0"/>
        <v>0</v>
      </c>
      <c r="D61" s="488"/>
      <c r="E61" s="153"/>
      <c r="F61" s="153"/>
    </row>
    <row r="62" spans="1:6" s="238" customFormat="1" ht="12" customHeight="1" thickBot="1">
      <c r="A62" s="464" t="s">
        <v>523</v>
      </c>
      <c r="B62" s="20" t="s">
        <v>271</v>
      </c>
      <c r="C62" s="154">
        <f t="shared" si="0"/>
        <v>481357471</v>
      </c>
      <c r="D62" s="556">
        <f>+D5+D12+D19+D26+D34+D46+D52+D57</f>
        <v>263031069</v>
      </c>
      <c r="E62" s="154">
        <f>+E5+E12+E19+E26+E34+E46+E52+E57</f>
        <v>635000</v>
      </c>
      <c r="F62" s="154">
        <f>+F5+F12+F19+F26+F34+F46+F52+F57</f>
        <v>217691402</v>
      </c>
    </row>
    <row r="63" spans="1:6" s="238" customFormat="1" ht="12" customHeight="1" thickBot="1">
      <c r="A63" s="465" t="s">
        <v>272</v>
      </c>
      <c r="B63" s="144" t="s">
        <v>273</v>
      </c>
      <c r="C63" s="154">
        <f t="shared" si="0"/>
        <v>144100000</v>
      </c>
      <c r="D63" s="549">
        <f>SUM(D64:D66)</f>
        <v>144100000</v>
      </c>
      <c r="E63" s="149">
        <f>SUM(E64:E66)</f>
        <v>0</v>
      </c>
      <c r="F63" s="491">
        <f>SUM(F64:F66)</f>
        <v>0</v>
      </c>
    </row>
    <row r="64" spans="1:6" s="238" customFormat="1" ht="12" customHeight="1">
      <c r="A64" s="14" t="s">
        <v>304</v>
      </c>
      <c r="B64" s="239" t="s">
        <v>274</v>
      </c>
      <c r="C64" s="697">
        <f t="shared" si="0"/>
        <v>44100000</v>
      </c>
      <c r="D64" s="500">
        <v>44100000</v>
      </c>
      <c r="E64" s="153"/>
      <c r="F64" s="153">
        <v>0</v>
      </c>
    </row>
    <row r="65" spans="1:6" s="238" customFormat="1" ht="12" customHeight="1">
      <c r="A65" s="13" t="s">
        <v>313</v>
      </c>
      <c r="B65" s="240" t="s">
        <v>275</v>
      </c>
      <c r="C65" s="698">
        <f t="shared" si="0"/>
        <v>100000000</v>
      </c>
      <c r="D65" s="488">
        <v>100000000</v>
      </c>
      <c r="E65" s="153"/>
      <c r="F65" s="153"/>
    </row>
    <row r="66" spans="1:6" s="238" customFormat="1" ht="12" customHeight="1" thickBot="1">
      <c r="A66" s="15" t="s">
        <v>314</v>
      </c>
      <c r="B66" s="466" t="s">
        <v>524</v>
      </c>
      <c r="C66" s="699">
        <f t="shared" si="0"/>
        <v>0</v>
      </c>
      <c r="D66" s="488"/>
      <c r="E66" s="153"/>
      <c r="F66" s="153"/>
    </row>
    <row r="67" spans="1:6" s="238" customFormat="1" ht="12" customHeight="1" thickBot="1">
      <c r="A67" s="465" t="s">
        <v>277</v>
      </c>
      <c r="B67" s="144" t="s">
        <v>278</v>
      </c>
      <c r="C67" s="491">
        <f t="shared" si="0"/>
        <v>0</v>
      </c>
      <c r="D67" s="549">
        <f>SUM(D68:D71)</f>
        <v>0</v>
      </c>
      <c r="E67" s="149">
        <f>SUM(E68:E71)</f>
        <v>0</v>
      </c>
      <c r="F67" s="149">
        <f>SUM(F68:F71)</f>
        <v>0</v>
      </c>
    </row>
    <row r="68" spans="1:6" s="238" customFormat="1" ht="12" customHeight="1">
      <c r="A68" s="14" t="s">
        <v>148</v>
      </c>
      <c r="B68" s="239" t="s">
        <v>279</v>
      </c>
      <c r="C68" s="697">
        <f t="shared" si="0"/>
        <v>0</v>
      </c>
      <c r="D68" s="488"/>
      <c r="E68" s="153"/>
      <c r="F68" s="153"/>
    </row>
    <row r="69" spans="1:6" s="238" customFormat="1" ht="12" customHeight="1">
      <c r="A69" s="13" t="s">
        <v>149</v>
      </c>
      <c r="B69" s="240" t="s">
        <v>280</v>
      </c>
      <c r="C69" s="698">
        <f t="shared" si="0"/>
        <v>0</v>
      </c>
      <c r="D69" s="488"/>
      <c r="E69" s="153"/>
      <c r="F69" s="153"/>
    </row>
    <row r="70" spans="1:6" s="238" customFormat="1" ht="12" customHeight="1">
      <c r="A70" s="13" t="s">
        <v>305</v>
      </c>
      <c r="B70" s="240" t="s">
        <v>281</v>
      </c>
      <c r="C70" s="698">
        <f aca="true" t="shared" si="1" ref="C70:C87">SUM(D70:F70)</f>
        <v>0</v>
      </c>
      <c r="D70" s="488"/>
      <c r="E70" s="153"/>
      <c r="F70" s="153"/>
    </row>
    <row r="71" spans="1:6" s="238" customFormat="1" ht="12" customHeight="1" thickBot="1">
      <c r="A71" s="15" t="s">
        <v>306</v>
      </c>
      <c r="B71" s="146" t="s">
        <v>282</v>
      </c>
      <c r="C71" s="699">
        <f t="shared" si="1"/>
        <v>0</v>
      </c>
      <c r="D71" s="488"/>
      <c r="E71" s="153"/>
      <c r="F71" s="153"/>
    </row>
    <row r="72" spans="1:6" s="238" customFormat="1" ht="12" customHeight="1" thickBot="1">
      <c r="A72" s="465" t="s">
        <v>283</v>
      </c>
      <c r="B72" s="144" t="s">
        <v>284</v>
      </c>
      <c r="C72" s="154">
        <f t="shared" si="1"/>
        <v>418046</v>
      </c>
      <c r="D72" s="549">
        <f>SUM(D73:D74)</f>
        <v>0</v>
      </c>
      <c r="E72" s="149">
        <f>SUM(E73:E74)</f>
        <v>0</v>
      </c>
      <c r="F72" s="149">
        <f>SUM(F73:F74)</f>
        <v>418046</v>
      </c>
    </row>
    <row r="73" spans="1:6" s="238" customFormat="1" ht="12" customHeight="1">
      <c r="A73" s="14" t="s">
        <v>307</v>
      </c>
      <c r="B73" s="239" t="s">
        <v>285</v>
      </c>
      <c r="C73" s="697">
        <f t="shared" si="1"/>
        <v>418046</v>
      </c>
      <c r="D73" s="488"/>
      <c r="E73" s="153"/>
      <c r="F73" s="153">
        <v>418046</v>
      </c>
    </row>
    <row r="74" spans="1:6" s="238" customFormat="1" ht="12" customHeight="1" thickBot="1">
      <c r="A74" s="15" t="s">
        <v>308</v>
      </c>
      <c r="B74" s="146" t="s">
        <v>286</v>
      </c>
      <c r="C74" s="699">
        <f t="shared" si="1"/>
        <v>0</v>
      </c>
      <c r="D74" s="488"/>
      <c r="E74" s="153"/>
      <c r="F74" s="153"/>
    </row>
    <row r="75" spans="1:6" s="238" customFormat="1" ht="12" customHeight="1" thickBot="1">
      <c r="A75" s="465" t="s">
        <v>287</v>
      </c>
      <c r="B75" s="144" t="s">
        <v>288</v>
      </c>
      <c r="C75" s="154">
        <f t="shared" si="1"/>
        <v>0</v>
      </c>
      <c r="D75" s="549">
        <f>SUM(D76:D78)</f>
        <v>0</v>
      </c>
      <c r="E75" s="149">
        <f>SUM(E76:E78)</f>
        <v>0</v>
      </c>
      <c r="F75" s="149">
        <f>SUM(F76:F78)</f>
        <v>0</v>
      </c>
    </row>
    <row r="76" spans="1:6" s="238" customFormat="1" ht="12" customHeight="1">
      <c r="A76" s="14" t="s">
        <v>309</v>
      </c>
      <c r="B76" s="239" t="s">
        <v>289</v>
      </c>
      <c r="C76" s="697">
        <f t="shared" si="1"/>
        <v>0</v>
      </c>
      <c r="D76" s="488"/>
      <c r="E76" s="153"/>
      <c r="F76" s="153"/>
    </row>
    <row r="77" spans="1:6" s="238" customFormat="1" ht="12" customHeight="1">
      <c r="A77" s="13" t="s">
        <v>310</v>
      </c>
      <c r="B77" s="240" t="s">
        <v>290</v>
      </c>
      <c r="C77" s="698">
        <f t="shared" si="1"/>
        <v>0</v>
      </c>
      <c r="D77" s="488"/>
      <c r="E77" s="153"/>
      <c r="F77" s="153"/>
    </row>
    <row r="78" spans="1:6" s="238" customFormat="1" ht="12" customHeight="1" thickBot="1">
      <c r="A78" s="15" t="s">
        <v>311</v>
      </c>
      <c r="B78" s="146" t="s">
        <v>291</v>
      </c>
      <c r="C78" s="699">
        <f t="shared" si="1"/>
        <v>0</v>
      </c>
      <c r="D78" s="488"/>
      <c r="E78" s="153"/>
      <c r="F78" s="153"/>
    </row>
    <row r="79" spans="1:6" s="238" customFormat="1" ht="12" customHeight="1" thickBot="1">
      <c r="A79" s="465" t="s">
        <v>292</v>
      </c>
      <c r="B79" s="144" t="s">
        <v>312</v>
      </c>
      <c r="C79" s="154">
        <f t="shared" si="1"/>
        <v>0</v>
      </c>
      <c r="D79" s="549">
        <f>SUM(D80:D83)</f>
        <v>0</v>
      </c>
      <c r="E79" s="149">
        <f>SUM(E80:E83)</f>
        <v>0</v>
      </c>
      <c r="F79" s="149">
        <f>SUM(F80:F83)</f>
        <v>0</v>
      </c>
    </row>
    <row r="80" spans="1:6" s="238" customFormat="1" ht="12" customHeight="1">
      <c r="A80" s="243" t="s">
        <v>293</v>
      </c>
      <c r="B80" s="239" t="s">
        <v>294</v>
      </c>
      <c r="C80" s="697">
        <f t="shared" si="1"/>
        <v>0</v>
      </c>
      <c r="D80" s="488"/>
      <c r="E80" s="153"/>
      <c r="F80" s="153"/>
    </row>
    <row r="81" spans="1:6" s="238" customFormat="1" ht="12" customHeight="1">
      <c r="A81" s="244" t="s">
        <v>295</v>
      </c>
      <c r="B81" s="240" t="s">
        <v>296</v>
      </c>
      <c r="C81" s="698">
        <f t="shared" si="1"/>
        <v>0</v>
      </c>
      <c r="D81" s="488"/>
      <c r="E81" s="153"/>
      <c r="F81" s="153"/>
    </row>
    <row r="82" spans="1:6" s="238" customFormat="1" ht="12" customHeight="1">
      <c r="A82" s="244" t="s">
        <v>297</v>
      </c>
      <c r="B82" s="240" t="s">
        <v>298</v>
      </c>
      <c r="C82" s="698">
        <f t="shared" si="1"/>
        <v>0</v>
      </c>
      <c r="D82" s="488"/>
      <c r="E82" s="153"/>
      <c r="F82" s="153"/>
    </row>
    <row r="83" spans="1:6" s="238" customFormat="1" ht="12" customHeight="1" thickBot="1">
      <c r="A83" s="245" t="s">
        <v>299</v>
      </c>
      <c r="B83" s="146" t="s">
        <v>300</v>
      </c>
      <c r="C83" s="699">
        <f t="shared" si="1"/>
        <v>0</v>
      </c>
      <c r="D83" s="488"/>
      <c r="E83" s="153"/>
      <c r="F83" s="153"/>
    </row>
    <row r="84" spans="1:6" s="238" customFormat="1" ht="12" customHeight="1" thickBot="1">
      <c r="A84" s="465" t="s">
        <v>301</v>
      </c>
      <c r="B84" s="144" t="s">
        <v>525</v>
      </c>
      <c r="C84" s="149">
        <f t="shared" si="1"/>
        <v>0</v>
      </c>
      <c r="D84" s="562"/>
      <c r="E84" s="278"/>
      <c r="F84" s="278"/>
    </row>
    <row r="85" spans="1:6" s="238" customFormat="1" ht="13.5" customHeight="1" thickBot="1">
      <c r="A85" s="465" t="s">
        <v>303</v>
      </c>
      <c r="B85" s="144" t="s">
        <v>302</v>
      </c>
      <c r="C85" s="149">
        <f t="shared" si="1"/>
        <v>0</v>
      </c>
      <c r="D85" s="562"/>
      <c r="E85" s="278"/>
      <c r="F85" s="278"/>
    </row>
    <row r="86" spans="1:6" s="238" customFormat="1" ht="15.75" customHeight="1" thickBot="1">
      <c r="A86" s="465" t="s">
        <v>315</v>
      </c>
      <c r="B86" s="246" t="s">
        <v>526</v>
      </c>
      <c r="C86" s="149">
        <f t="shared" si="1"/>
        <v>144518046</v>
      </c>
      <c r="D86" s="556">
        <f>+D63+D67+D72+D75+D79+D85+D84</f>
        <v>144100000</v>
      </c>
      <c r="E86" s="154">
        <f>+E63+E67+E72+E75+E79+E85+E84</f>
        <v>0</v>
      </c>
      <c r="F86" s="154">
        <f>+F63+F67+F72+F75+F79+F85+F84</f>
        <v>418046</v>
      </c>
    </row>
    <row r="87" spans="1:6" s="238" customFormat="1" ht="16.5" customHeight="1" thickBot="1">
      <c r="A87" s="467" t="s">
        <v>527</v>
      </c>
      <c r="B87" s="247" t="s">
        <v>528</v>
      </c>
      <c r="C87" s="149">
        <f t="shared" si="1"/>
        <v>625875517</v>
      </c>
      <c r="D87" s="556">
        <f>+D62+D86</f>
        <v>407131069</v>
      </c>
      <c r="E87" s="154">
        <f>+E62+E86</f>
        <v>635000</v>
      </c>
      <c r="F87" s="154">
        <f>+F62+F86</f>
        <v>218109448</v>
      </c>
    </row>
    <row r="88" spans="1:3" s="238" customFormat="1" ht="83.25" customHeight="1">
      <c r="A88" s="4"/>
      <c r="B88" s="5"/>
      <c r="C88" s="155"/>
    </row>
    <row r="89" spans="1:3" ht="16.5" customHeight="1">
      <c r="A89" s="735" t="s">
        <v>70</v>
      </c>
      <c r="B89" s="735"/>
      <c r="C89" s="735"/>
    </row>
    <row r="90" spans="1:3" s="248" customFormat="1" ht="16.5" customHeight="1" thickBot="1">
      <c r="A90" s="736" t="s">
        <v>151</v>
      </c>
      <c r="B90" s="736"/>
      <c r="C90" s="88" t="s">
        <v>667</v>
      </c>
    </row>
    <row r="91" spans="1:3" ht="37.5" customHeight="1" thickBot="1">
      <c r="A91" s="22" t="s">
        <v>92</v>
      </c>
      <c r="B91" s="23" t="s">
        <v>71</v>
      </c>
      <c r="C91" s="36" t="str">
        <f>+C3</f>
        <v>2017. évi előirányzat</v>
      </c>
    </row>
    <row r="92" spans="1:3" s="237" customFormat="1" ht="12" customHeight="1" thickBot="1">
      <c r="A92" s="32" t="s">
        <v>512</v>
      </c>
      <c r="B92" s="33" t="s">
        <v>513</v>
      </c>
      <c r="C92" s="34" t="s">
        <v>514</v>
      </c>
    </row>
    <row r="93" spans="1:6" ht="12" customHeight="1" thickBot="1">
      <c r="A93" s="21" t="s">
        <v>41</v>
      </c>
      <c r="B93" s="26" t="s">
        <v>566</v>
      </c>
      <c r="C93" s="149">
        <f aca="true" t="shared" si="2" ref="C93:C154">SUM(D93:F93)</f>
        <v>569458146</v>
      </c>
      <c r="D93" s="568">
        <f>+D94+D95+D96+D97+D98+D111</f>
        <v>39517601</v>
      </c>
      <c r="E93" s="148">
        <f>+E94+E95+E96+E97+E98+E111</f>
        <v>4419000</v>
      </c>
      <c r="F93" s="149">
        <f>F94+F95+F96+F97+F98+F111</f>
        <v>525521545</v>
      </c>
    </row>
    <row r="94" spans="1:6" ht="12" customHeight="1">
      <c r="A94" s="16" t="s">
        <v>117</v>
      </c>
      <c r="B94" s="9" t="s">
        <v>72</v>
      </c>
      <c r="C94" s="697">
        <f t="shared" si="2"/>
        <v>274845757</v>
      </c>
      <c r="D94" s="642">
        <f>310000+175000+172000+24000+3882000+3749000-282000+589000+24000</f>
        <v>8643000</v>
      </c>
      <c r="E94" s="509"/>
      <c r="F94" s="509">
        <f>258452451+7750306</f>
        <v>266202757</v>
      </c>
    </row>
    <row r="95" spans="1:6" ht="12" customHeight="1">
      <c r="A95" s="13" t="s">
        <v>118</v>
      </c>
      <c r="B95" s="7" t="s">
        <v>171</v>
      </c>
      <c r="C95" s="698">
        <f t="shared" si="2"/>
        <v>64636374</v>
      </c>
      <c r="D95" s="488">
        <f>62000+33000+48000+808000+1652000-63900+117000+10800</f>
        <v>2666900</v>
      </c>
      <c r="E95" s="153"/>
      <c r="F95" s="153">
        <f>60280532+1688942</f>
        <v>61969474</v>
      </c>
    </row>
    <row r="96" spans="1:6" ht="12" customHeight="1">
      <c r="A96" s="13" t="s">
        <v>119</v>
      </c>
      <c r="B96" s="7" t="s">
        <v>146</v>
      </c>
      <c r="C96" s="698">
        <f t="shared" si="2"/>
        <v>223976015</v>
      </c>
      <c r="D96" s="499">
        <f>4801000+800001+376000+120000+386000+50000+18800+32000+22000+11212000+1682000+295900+401000+411000+1600000</f>
        <v>22207701</v>
      </c>
      <c r="E96" s="228">
        <v>4419000</v>
      </c>
      <c r="F96" s="153">
        <f>196774214-59900+635000</f>
        <v>197349314</v>
      </c>
    </row>
    <row r="97" spans="1:6" ht="12" customHeight="1">
      <c r="A97" s="13" t="s">
        <v>120</v>
      </c>
      <c r="B97" s="7" t="s">
        <v>172</v>
      </c>
      <c r="C97" s="698">
        <f t="shared" si="2"/>
        <v>0</v>
      </c>
      <c r="D97" s="499"/>
      <c r="E97" s="228"/>
      <c r="F97" s="153"/>
    </row>
    <row r="98" spans="1:6" ht="12" customHeight="1">
      <c r="A98" s="13" t="s">
        <v>131</v>
      </c>
      <c r="B98" s="6" t="s">
        <v>173</v>
      </c>
      <c r="C98" s="698">
        <f t="shared" si="2"/>
        <v>6000000</v>
      </c>
      <c r="D98" s="499">
        <f>SUM(D99:D110)</f>
        <v>6000000</v>
      </c>
      <c r="E98" s="228">
        <f>SUM(E99:E110)</f>
        <v>0</v>
      </c>
      <c r="F98" s="228"/>
    </row>
    <row r="99" spans="1:6" ht="12" customHeight="1">
      <c r="A99" s="13" t="s">
        <v>121</v>
      </c>
      <c r="B99" s="7" t="s">
        <v>529</v>
      </c>
      <c r="C99" s="698">
        <f t="shared" si="2"/>
        <v>0</v>
      </c>
      <c r="D99" s="499"/>
      <c r="E99" s="228"/>
      <c r="F99" s="228"/>
    </row>
    <row r="100" spans="1:6" ht="12" customHeight="1">
      <c r="A100" s="13" t="s">
        <v>122</v>
      </c>
      <c r="B100" s="92" t="s">
        <v>530</v>
      </c>
      <c r="C100" s="698">
        <f t="shared" si="2"/>
        <v>0</v>
      </c>
      <c r="D100" s="499"/>
      <c r="E100" s="228"/>
      <c r="F100" s="228"/>
    </row>
    <row r="101" spans="1:6" ht="12" customHeight="1">
      <c r="A101" s="13" t="s">
        <v>132</v>
      </c>
      <c r="B101" s="92" t="s">
        <v>531</v>
      </c>
      <c r="C101" s="698">
        <f t="shared" si="2"/>
        <v>0</v>
      </c>
      <c r="D101" s="499"/>
      <c r="E101" s="228"/>
      <c r="F101" s="228"/>
    </row>
    <row r="102" spans="1:6" ht="12" customHeight="1">
      <c r="A102" s="13" t="s">
        <v>133</v>
      </c>
      <c r="B102" s="90" t="s">
        <v>318</v>
      </c>
      <c r="C102" s="698">
        <f t="shared" si="2"/>
        <v>0</v>
      </c>
      <c r="D102" s="499"/>
      <c r="E102" s="228"/>
      <c r="F102" s="228"/>
    </row>
    <row r="103" spans="1:6" ht="12" customHeight="1">
      <c r="A103" s="13" t="s">
        <v>134</v>
      </c>
      <c r="B103" s="91" t="s">
        <v>319</v>
      </c>
      <c r="C103" s="698">
        <f t="shared" si="2"/>
        <v>0</v>
      </c>
      <c r="D103" s="499"/>
      <c r="E103" s="228"/>
      <c r="F103" s="228"/>
    </row>
    <row r="104" spans="1:6" ht="12" customHeight="1">
      <c r="A104" s="13" t="s">
        <v>135</v>
      </c>
      <c r="B104" s="91" t="s">
        <v>320</v>
      </c>
      <c r="C104" s="698">
        <f t="shared" si="2"/>
        <v>0</v>
      </c>
      <c r="D104" s="499"/>
      <c r="E104" s="228"/>
      <c r="F104" s="228"/>
    </row>
    <row r="105" spans="1:6" ht="12" customHeight="1">
      <c r="A105" s="13" t="s">
        <v>137</v>
      </c>
      <c r="B105" s="90" t="s">
        <v>321</v>
      </c>
      <c r="C105" s="698">
        <f t="shared" si="2"/>
        <v>0</v>
      </c>
      <c r="D105" s="499"/>
      <c r="E105" s="228"/>
      <c r="F105" s="228"/>
    </row>
    <row r="106" spans="1:6" ht="12" customHeight="1">
      <c r="A106" s="13" t="s">
        <v>174</v>
      </c>
      <c r="B106" s="90" t="s">
        <v>322</v>
      </c>
      <c r="C106" s="698">
        <f t="shared" si="2"/>
        <v>0</v>
      </c>
      <c r="D106" s="499"/>
      <c r="E106" s="228"/>
      <c r="F106" s="228"/>
    </row>
    <row r="107" spans="1:6" ht="12" customHeight="1">
      <c r="A107" s="13" t="s">
        <v>316</v>
      </c>
      <c r="B107" s="91" t="s">
        <v>323</v>
      </c>
      <c r="C107" s="698">
        <f t="shared" si="2"/>
        <v>0</v>
      </c>
      <c r="D107" s="499"/>
      <c r="E107" s="228"/>
      <c r="F107" s="228"/>
    </row>
    <row r="108" spans="1:6" ht="12" customHeight="1">
      <c r="A108" s="12" t="s">
        <v>317</v>
      </c>
      <c r="B108" s="92" t="s">
        <v>324</v>
      </c>
      <c r="C108" s="698">
        <f t="shared" si="2"/>
        <v>0</v>
      </c>
      <c r="D108" s="499"/>
      <c r="E108" s="228"/>
      <c r="F108" s="228"/>
    </row>
    <row r="109" spans="1:6" ht="12" customHeight="1">
      <c r="A109" s="13" t="s">
        <v>532</v>
      </c>
      <c r="B109" s="92" t="s">
        <v>325</v>
      </c>
      <c r="C109" s="698">
        <f t="shared" si="2"/>
        <v>0</v>
      </c>
      <c r="D109" s="499"/>
      <c r="E109" s="228"/>
      <c r="F109" s="228"/>
    </row>
    <row r="110" spans="1:6" ht="12" customHeight="1">
      <c r="A110" s="15" t="s">
        <v>533</v>
      </c>
      <c r="B110" s="92" t="s">
        <v>326</v>
      </c>
      <c r="C110" s="698">
        <f t="shared" si="2"/>
        <v>6000000</v>
      </c>
      <c r="D110" s="488">
        <f>5000000+800000+150000+50000</f>
        <v>6000000</v>
      </c>
      <c r="E110" s="153"/>
      <c r="F110" s="515"/>
    </row>
    <row r="111" spans="1:6" ht="12" customHeight="1">
      <c r="A111" s="13" t="s">
        <v>534</v>
      </c>
      <c r="B111" s="7" t="s">
        <v>73</v>
      </c>
      <c r="C111" s="698">
        <f t="shared" si="2"/>
        <v>0</v>
      </c>
      <c r="D111" s="135"/>
      <c r="E111" s="153"/>
      <c r="F111" s="150"/>
    </row>
    <row r="112" spans="1:6" ht="12" customHeight="1">
      <c r="A112" s="13" t="s">
        <v>535</v>
      </c>
      <c r="B112" s="7" t="s">
        <v>536</v>
      </c>
      <c r="C112" s="698">
        <f t="shared" si="2"/>
        <v>0</v>
      </c>
      <c r="D112" s="136"/>
      <c r="E112" s="228"/>
      <c r="F112" s="150"/>
    </row>
    <row r="113" spans="1:6" ht="12" customHeight="1" thickBot="1">
      <c r="A113" s="17" t="s">
        <v>537</v>
      </c>
      <c r="B113" s="468" t="s">
        <v>538</v>
      </c>
      <c r="C113" s="699">
        <f t="shared" si="2"/>
        <v>0</v>
      </c>
      <c r="D113" s="571"/>
      <c r="E113" s="526"/>
      <c r="F113" s="156"/>
    </row>
    <row r="114" spans="1:6" ht="12" customHeight="1" thickBot="1">
      <c r="A114" s="469" t="s">
        <v>42</v>
      </c>
      <c r="B114" s="470" t="s">
        <v>327</v>
      </c>
      <c r="C114" s="154">
        <f t="shared" si="2"/>
        <v>27869362</v>
      </c>
      <c r="D114" s="549">
        <f>+D115+D117+D119</f>
        <v>24654202</v>
      </c>
      <c r="E114" s="149">
        <f>+E115+E117+E119</f>
        <v>0</v>
      </c>
      <c r="F114" s="471">
        <f>+F115+F117+F119</f>
        <v>3215160</v>
      </c>
    </row>
    <row r="115" spans="1:6" ht="12" customHeight="1">
      <c r="A115" s="14" t="s">
        <v>123</v>
      </c>
      <c r="B115" s="7" t="s">
        <v>191</v>
      </c>
      <c r="C115" s="697">
        <f t="shared" si="2"/>
        <v>6869362</v>
      </c>
      <c r="D115" s="560">
        <f>2963001+300001+90200+301000</f>
        <v>3654202</v>
      </c>
      <c r="E115" s="277"/>
      <c r="F115" s="277">
        <f>3155260+59900</f>
        <v>3215160</v>
      </c>
    </row>
    <row r="116" spans="1:6" ht="12" customHeight="1">
      <c r="A116" s="14" t="s">
        <v>124</v>
      </c>
      <c r="B116" s="11" t="s">
        <v>331</v>
      </c>
      <c r="C116" s="698">
        <f t="shared" si="2"/>
        <v>0</v>
      </c>
      <c r="D116" s="560"/>
      <c r="E116" s="277"/>
      <c r="F116" s="277"/>
    </row>
    <row r="117" spans="1:6" ht="12" customHeight="1">
      <c r="A117" s="14" t="s">
        <v>125</v>
      </c>
      <c r="B117" s="11" t="s">
        <v>175</v>
      </c>
      <c r="C117" s="698">
        <f t="shared" si="2"/>
        <v>21000000</v>
      </c>
      <c r="D117" s="135">
        <f>21000000</f>
        <v>21000000</v>
      </c>
      <c r="E117" s="153"/>
      <c r="F117" s="153"/>
    </row>
    <row r="118" spans="1:6" ht="12" customHeight="1">
      <c r="A118" s="14" t="s">
        <v>126</v>
      </c>
      <c r="B118" s="11" t="s">
        <v>332</v>
      </c>
      <c r="C118" s="698">
        <f t="shared" si="2"/>
        <v>0</v>
      </c>
      <c r="D118" s="135"/>
      <c r="E118" s="514"/>
      <c r="F118" s="488"/>
    </row>
    <row r="119" spans="1:6" ht="12" customHeight="1">
      <c r="A119" s="14" t="s">
        <v>127</v>
      </c>
      <c r="B119" s="146" t="s">
        <v>193</v>
      </c>
      <c r="C119" s="698">
        <f t="shared" si="2"/>
        <v>0</v>
      </c>
      <c r="D119" s="500">
        <f>SUM(D120:D127)</f>
        <v>0</v>
      </c>
      <c r="E119" s="488"/>
      <c r="F119" s="488"/>
    </row>
    <row r="120" spans="1:6" ht="12" customHeight="1">
      <c r="A120" s="14" t="s">
        <v>136</v>
      </c>
      <c r="B120" s="145" t="s">
        <v>394</v>
      </c>
      <c r="C120" s="698">
        <f t="shared" si="2"/>
        <v>0</v>
      </c>
      <c r="D120" s="500"/>
      <c r="E120" s="135"/>
      <c r="F120" s="135"/>
    </row>
    <row r="121" spans="1:6" ht="12" customHeight="1">
      <c r="A121" s="14" t="s">
        <v>138</v>
      </c>
      <c r="B121" s="235" t="s">
        <v>337</v>
      </c>
      <c r="C121" s="698">
        <f t="shared" si="2"/>
        <v>0</v>
      </c>
      <c r="D121" s="500"/>
      <c r="E121" s="135"/>
      <c r="F121" s="135"/>
    </row>
    <row r="122" spans="1:6" ht="15.75">
      <c r="A122" s="14" t="s">
        <v>176</v>
      </c>
      <c r="B122" s="91" t="s">
        <v>320</v>
      </c>
      <c r="C122" s="698">
        <f t="shared" si="2"/>
        <v>0</v>
      </c>
      <c r="D122" s="500"/>
      <c r="E122" s="135"/>
      <c r="F122" s="135"/>
    </row>
    <row r="123" spans="1:6" ht="12" customHeight="1">
      <c r="A123" s="14" t="s">
        <v>177</v>
      </c>
      <c r="B123" s="91" t="s">
        <v>336</v>
      </c>
      <c r="C123" s="698">
        <f t="shared" si="2"/>
        <v>0</v>
      </c>
      <c r="D123" s="500"/>
      <c r="E123" s="135"/>
      <c r="F123" s="135"/>
    </row>
    <row r="124" spans="1:6" ht="12" customHeight="1">
      <c r="A124" s="14" t="s">
        <v>178</v>
      </c>
      <c r="B124" s="91" t="s">
        <v>335</v>
      </c>
      <c r="C124" s="698">
        <f t="shared" si="2"/>
        <v>0</v>
      </c>
      <c r="D124" s="500"/>
      <c r="E124" s="135"/>
      <c r="F124" s="135"/>
    </row>
    <row r="125" spans="1:6" ht="12" customHeight="1">
      <c r="A125" s="14" t="s">
        <v>328</v>
      </c>
      <c r="B125" s="91" t="s">
        <v>323</v>
      </c>
      <c r="C125" s="698">
        <f t="shared" si="2"/>
        <v>0</v>
      </c>
      <c r="D125" s="500"/>
      <c r="E125" s="135"/>
      <c r="F125" s="135"/>
    </row>
    <row r="126" spans="1:6" ht="12" customHeight="1">
      <c r="A126" s="14" t="s">
        <v>329</v>
      </c>
      <c r="B126" s="91" t="s">
        <v>334</v>
      </c>
      <c r="C126" s="698">
        <f t="shared" si="2"/>
        <v>0</v>
      </c>
      <c r="D126" s="500"/>
      <c r="E126" s="135"/>
      <c r="F126" s="135"/>
    </row>
    <row r="127" spans="1:6" ht="16.5" thickBot="1">
      <c r="A127" s="12" t="s">
        <v>330</v>
      </c>
      <c r="B127" s="91" t="s">
        <v>333</v>
      </c>
      <c r="C127" s="699">
        <f t="shared" si="2"/>
        <v>0</v>
      </c>
      <c r="D127" s="501"/>
      <c r="E127" s="499"/>
      <c r="F127" s="499"/>
    </row>
    <row r="128" spans="1:6" ht="12" customHeight="1" thickBot="1">
      <c r="A128" s="19" t="s">
        <v>43</v>
      </c>
      <c r="B128" s="86" t="s">
        <v>539</v>
      </c>
      <c r="C128" s="154">
        <f t="shared" si="2"/>
        <v>597327508</v>
      </c>
      <c r="D128" s="549">
        <f>+D93+D114</f>
        <v>64171803</v>
      </c>
      <c r="E128" s="149">
        <f>+E93+E114</f>
        <v>4419000</v>
      </c>
      <c r="F128" s="149">
        <f>+F93+F114</f>
        <v>528736705</v>
      </c>
    </row>
    <row r="129" spans="1:6" ht="12" customHeight="1" thickBot="1">
      <c r="A129" s="19" t="s">
        <v>44</v>
      </c>
      <c r="B129" s="86" t="s">
        <v>540</v>
      </c>
      <c r="C129" s="154">
        <f t="shared" si="2"/>
        <v>103161000</v>
      </c>
      <c r="D129" s="549">
        <f>+D130+D131+D132</f>
        <v>103161000</v>
      </c>
      <c r="E129" s="149">
        <f>+E130+E131+E132</f>
        <v>0</v>
      </c>
      <c r="F129" s="149">
        <f>+F130+F131+F132</f>
        <v>0</v>
      </c>
    </row>
    <row r="130" spans="1:6" ht="12" customHeight="1">
      <c r="A130" s="14" t="s">
        <v>228</v>
      </c>
      <c r="B130" s="11" t="s">
        <v>541</v>
      </c>
      <c r="C130" s="697">
        <f t="shared" si="2"/>
        <v>3161000</v>
      </c>
      <c r="D130" s="488">
        <v>3161000</v>
      </c>
      <c r="E130" s="488"/>
      <c r="F130" s="488"/>
    </row>
    <row r="131" spans="1:6" ht="12" customHeight="1">
      <c r="A131" s="14" t="s">
        <v>231</v>
      </c>
      <c r="B131" s="11" t="s">
        <v>542</v>
      </c>
      <c r="C131" s="698">
        <f t="shared" si="2"/>
        <v>100000000</v>
      </c>
      <c r="D131" s="135">
        <v>100000000</v>
      </c>
      <c r="E131" s="135"/>
      <c r="F131" s="135"/>
    </row>
    <row r="132" spans="1:6" ht="12" customHeight="1" thickBot="1">
      <c r="A132" s="12" t="s">
        <v>232</v>
      </c>
      <c r="B132" s="11" t="s">
        <v>543</v>
      </c>
      <c r="C132" s="699">
        <f t="shared" si="2"/>
        <v>0</v>
      </c>
      <c r="D132" s="135"/>
      <c r="E132" s="135"/>
      <c r="F132" s="135"/>
    </row>
    <row r="133" spans="1:6" ht="12" customHeight="1" thickBot="1">
      <c r="A133" s="19" t="s">
        <v>45</v>
      </c>
      <c r="B133" s="86" t="s">
        <v>544</v>
      </c>
      <c r="C133" s="491">
        <f t="shared" si="2"/>
        <v>0</v>
      </c>
      <c r="D133" s="549">
        <f>+D134+D135+D136+D137+D138+D139</f>
        <v>0</v>
      </c>
      <c r="E133" s="149">
        <f>+E134+E135+E136+E137+E138+E139</f>
        <v>0</v>
      </c>
      <c r="F133" s="149">
        <f>SUM(F134:F139)</f>
        <v>0</v>
      </c>
    </row>
    <row r="134" spans="1:6" ht="12" customHeight="1">
      <c r="A134" s="14" t="s">
        <v>110</v>
      </c>
      <c r="B134" s="8" t="s">
        <v>545</v>
      </c>
      <c r="C134" s="697">
        <f t="shared" si="2"/>
        <v>0</v>
      </c>
      <c r="D134" s="135"/>
      <c r="E134" s="135"/>
      <c r="F134" s="135"/>
    </row>
    <row r="135" spans="1:6" ht="12" customHeight="1">
      <c r="A135" s="14" t="s">
        <v>111</v>
      </c>
      <c r="B135" s="8" t="s">
        <v>546</v>
      </c>
      <c r="C135" s="698">
        <f t="shared" si="2"/>
        <v>0</v>
      </c>
      <c r="D135" s="135"/>
      <c r="E135" s="135"/>
      <c r="F135" s="135"/>
    </row>
    <row r="136" spans="1:6" ht="12" customHeight="1">
      <c r="A136" s="14" t="s">
        <v>112</v>
      </c>
      <c r="B136" s="8" t="s">
        <v>547</v>
      </c>
      <c r="C136" s="698">
        <f t="shared" si="2"/>
        <v>0</v>
      </c>
      <c r="D136" s="135"/>
      <c r="E136" s="135"/>
      <c r="F136" s="135"/>
    </row>
    <row r="137" spans="1:6" ht="12" customHeight="1">
      <c r="A137" s="14" t="s">
        <v>163</v>
      </c>
      <c r="B137" s="8" t="s">
        <v>548</v>
      </c>
      <c r="C137" s="698">
        <f t="shared" si="2"/>
        <v>0</v>
      </c>
      <c r="D137" s="135"/>
      <c r="E137" s="135"/>
      <c r="F137" s="135"/>
    </row>
    <row r="138" spans="1:6" ht="12" customHeight="1">
      <c r="A138" s="14" t="s">
        <v>164</v>
      </c>
      <c r="B138" s="8" t="s">
        <v>549</v>
      </c>
      <c r="C138" s="698">
        <f t="shared" si="2"/>
        <v>0</v>
      </c>
      <c r="D138" s="135"/>
      <c r="E138" s="135"/>
      <c r="F138" s="135"/>
    </row>
    <row r="139" spans="1:6" ht="12" customHeight="1" thickBot="1">
      <c r="A139" s="12" t="s">
        <v>165</v>
      </c>
      <c r="B139" s="8" t="s">
        <v>550</v>
      </c>
      <c r="C139" s="699">
        <f t="shared" si="2"/>
        <v>0</v>
      </c>
      <c r="D139" s="135"/>
      <c r="E139" s="135"/>
      <c r="F139" s="135"/>
    </row>
    <row r="140" spans="1:6" ht="12" customHeight="1" thickBot="1">
      <c r="A140" s="19" t="s">
        <v>46</v>
      </c>
      <c r="B140" s="86" t="s">
        <v>551</v>
      </c>
      <c r="C140" s="154">
        <f t="shared" si="2"/>
        <v>0</v>
      </c>
      <c r="D140" s="556">
        <f>+D141+D142+D143+D144</f>
        <v>0</v>
      </c>
      <c r="E140" s="154">
        <f>+E141+E142+E143+E144</f>
        <v>0</v>
      </c>
      <c r="F140" s="154">
        <f>+F141+F142+F143+F144</f>
        <v>0</v>
      </c>
    </row>
    <row r="141" spans="1:6" ht="12" customHeight="1">
      <c r="A141" s="14" t="s">
        <v>113</v>
      </c>
      <c r="B141" s="8" t="s">
        <v>338</v>
      </c>
      <c r="C141" s="697">
        <f t="shared" si="2"/>
        <v>0</v>
      </c>
      <c r="D141" s="135"/>
      <c r="E141" s="135"/>
      <c r="F141" s="135"/>
    </row>
    <row r="142" spans="1:6" ht="12" customHeight="1">
      <c r="A142" s="14" t="s">
        <v>114</v>
      </c>
      <c r="B142" s="8" t="s">
        <v>339</v>
      </c>
      <c r="C142" s="698">
        <f t="shared" si="2"/>
        <v>0</v>
      </c>
      <c r="D142" s="135"/>
      <c r="E142" s="135"/>
      <c r="F142" s="135"/>
    </row>
    <row r="143" spans="1:6" ht="12" customHeight="1">
      <c r="A143" s="14" t="s">
        <v>252</v>
      </c>
      <c r="B143" s="8" t="s">
        <v>552</v>
      </c>
      <c r="C143" s="698">
        <f t="shared" si="2"/>
        <v>0</v>
      </c>
      <c r="D143" s="135"/>
      <c r="E143" s="135"/>
      <c r="F143" s="135"/>
    </row>
    <row r="144" spans="1:6" ht="12" customHeight="1" thickBot="1">
      <c r="A144" s="12" t="s">
        <v>253</v>
      </c>
      <c r="B144" s="6" t="s">
        <v>357</v>
      </c>
      <c r="C144" s="699">
        <f t="shared" si="2"/>
        <v>0</v>
      </c>
      <c r="D144" s="135"/>
      <c r="E144" s="135"/>
      <c r="F144" s="135"/>
    </row>
    <row r="145" spans="1:6" ht="12" customHeight="1" thickBot="1">
      <c r="A145" s="19" t="s">
        <v>47</v>
      </c>
      <c r="B145" s="86" t="s">
        <v>553</v>
      </c>
      <c r="C145" s="154">
        <f t="shared" si="2"/>
        <v>0</v>
      </c>
      <c r="D145" s="574">
        <f>+D146+D147+D148+D149+D150</f>
        <v>0</v>
      </c>
      <c r="E145" s="157">
        <f>+E146+E147+E148+E149+E150</f>
        <v>0</v>
      </c>
      <c r="F145" s="157">
        <f>SUM(F146:F150)</f>
        <v>0</v>
      </c>
    </row>
    <row r="146" spans="1:6" ht="12" customHeight="1">
      <c r="A146" s="14" t="s">
        <v>115</v>
      </c>
      <c r="B146" s="8" t="s">
        <v>554</v>
      </c>
      <c r="C146" s="697">
        <f t="shared" si="2"/>
        <v>0</v>
      </c>
      <c r="D146" s="135"/>
      <c r="E146" s="135"/>
      <c r="F146" s="135"/>
    </row>
    <row r="147" spans="1:6" ht="12" customHeight="1">
      <c r="A147" s="14" t="s">
        <v>116</v>
      </c>
      <c r="B147" s="8" t="s">
        <v>555</v>
      </c>
      <c r="C147" s="698">
        <f t="shared" si="2"/>
        <v>0</v>
      </c>
      <c r="D147" s="135"/>
      <c r="E147" s="135"/>
      <c r="F147" s="135"/>
    </row>
    <row r="148" spans="1:6" ht="12" customHeight="1">
      <c r="A148" s="14" t="s">
        <v>264</v>
      </c>
      <c r="B148" s="8" t="s">
        <v>556</v>
      </c>
      <c r="C148" s="698">
        <f t="shared" si="2"/>
        <v>0</v>
      </c>
      <c r="D148" s="135"/>
      <c r="E148" s="135"/>
      <c r="F148" s="135"/>
    </row>
    <row r="149" spans="1:6" ht="12" customHeight="1">
      <c r="A149" s="14" t="s">
        <v>265</v>
      </c>
      <c r="B149" s="8" t="s">
        <v>557</v>
      </c>
      <c r="C149" s="698">
        <f t="shared" si="2"/>
        <v>0</v>
      </c>
      <c r="D149" s="135"/>
      <c r="E149" s="135"/>
      <c r="F149" s="135"/>
    </row>
    <row r="150" spans="1:6" ht="12" customHeight="1" thickBot="1">
      <c r="A150" s="14" t="s">
        <v>558</v>
      </c>
      <c r="B150" s="8" t="s">
        <v>559</v>
      </c>
      <c r="C150" s="699">
        <f t="shared" si="2"/>
        <v>0</v>
      </c>
      <c r="D150" s="136"/>
      <c r="E150" s="136"/>
      <c r="F150" s="135"/>
    </row>
    <row r="151" spans="1:6" ht="12" customHeight="1" thickBot="1">
      <c r="A151" s="19" t="s">
        <v>48</v>
      </c>
      <c r="B151" s="86" t="s">
        <v>560</v>
      </c>
      <c r="C151" s="149">
        <f t="shared" si="2"/>
        <v>0</v>
      </c>
      <c r="D151" s="574"/>
      <c r="E151" s="157"/>
      <c r="F151" s="472"/>
    </row>
    <row r="152" spans="1:6" ht="12" customHeight="1" thickBot="1">
      <c r="A152" s="19" t="s">
        <v>49</v>
      </c>
      <c r="B152" s="86" t="s">
        <v>561</v>
      </c>
      <c r="C152" s="149">
        <f t="shared" si="2"/>
        <v>0</v>
      </c>
      <c r="D152" s="574"/>
      <c r="E152" s="157"/>
      <c r="F152" s="472"/>
    </row>
    <row r="153" spans="1:9" ht="15" customHeight="1" thickBot="1">
      <c r="A153" s="19" t="s">
        <v>50</v>
      </c>
      <c r="B153" s="86" t="s">
        <v>562</v>
      </c>
      <c r="C153" s="149">
        <f t="shared" si="2"/>
        <v>103161000</v>
      </c>
      <c r="D153" s="577">
        <f>+D129+D133+D140+D145+D151+D152</f>
        <v>103161000</v>
      </c>
      <c r="E153" s="249">
        <f>+E129+E133+E140+E145+E151+E152</f>
        <v>0</v>
      </c>
      <c r="F153" s="249">
        <f>+F129+F133+F140+F145+F151+F152</f>
        <v>0</v>
      </c>
      <c r="G153" s="250"/>
      <c r="H153" s="250"/>
      <c r="I153" s="250"/>
    </row>
    <row r="154" spans="1:6" s="238" customFormat="1" ht="12.75" customHeight="1" thickBot="1">
      <c r="A154" s="147" t="s">
        <v>51</v>
      </c>
      <c r="B154" s="224" t="s">
        <v>563</v>
      </c>
      <c r="C154" s="149">
        <f t="shared" si="2"/>
        <v>700488508</v>
      </c>
      <c r="D154" s="577">
        <f>+D128+D153</f>
        <v>167332803</v>
      </c>
      <c r="E154" s="249">
        <f>+E128+E153</f>
        <v>4419000</v>
      </c>
      <c r="F154" s="249">
        <f>+F128+F153</f>
        <v>528736705</v>
      </c>
    </row>
    <row r="155" ht="7.5" customHeight="1"/>
    <row r="156" spans="1:3" ht="15.75">
      <c r="A156" s="737" t="s">
        <v>340</v>
      </c>
      <c r="B156" s="737"/>
      <c r="C156" s="737"/>
    </row>
    <row r="157" spans="1:3" ht="15" customHeight="1" thickBot="1">
      <c r="A157" s="734" t="s">
        <v>152</v>
      </c>
      <c r="B157" s="734"/>
      <c r="C157" s="158" t="s">
        <v>667</v>
      </c>
    </row>
    <row r="158" spans="1:3" ht="13.5" customHeight="1" thickBot="1">
      <c r="A158" s="19">
        <v>1</v>
      </c>
      <c r="B158" s="25" t="s">
        <v>564</v>
      </c>
      <c r="C158" s="149">
        <f>+C62-C128</f>
        <v>-115970037</v>
      </c>
    </row>
    <row r="159" spans="1:3" ht="27.75" customHeight="1" thickBot="1">
      <c r="A159" s="19" t="s">
        <v>42</v>
      </c>
      <c r="B159" s="25" t="s">
        <v>565</v>
      </c>
      <c r="C159" s="149">
        <f>+C86-C153</f>
        <v>41357046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 melléklet a 11/2017.(III.30.)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C7">
      <selection activeCell="O18" sqref="O18"/>
    </sheetView>
  </sheetViews>
  <sheetFormatPr defaultColWidth="9.00390625" defaultRowHeight="12.75"/>
  <cols>
    <col min="1" max="1" width="4.875" style="67" customWidth="1"/>
    <col min="2" max="2" width="31.125" style="80" customWidth="1"/>
    <col min="3" max="10" width="11.125" style="80" bestFit="1" customWidth="1"/>
    <col min="11" max="11" width="12.625" style="80" bestFit="1" customWidth="1"/>
    <col min="12" max="12" width="11.875" style="80" bestFit="1" customWidth="1"/>
    <col min="13" max="14" width="11.125" style="80" bestFit="1" customWidth="1"/>
    <col min="15" max="15" width="12.625" style="67" customWidth="1"/>
    <col min="16" max="16384" width="9.375" style="80" customWidth="1"/>
  </cols>
  <sheetData>
    <row r="1" spans="1:15" ht="31.5" customHeight="1">
      <c r="A1" s="762" t="s">
        <v>659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ht="16.5" thickBot="1">
      <c r="O2" s="3" t="s">
        <v>668</v>
      </c>
    </row>
    <row r="3" spans="1:15" s="67" customFormat="1" ht="35.25" customHeight="1" thickBot="1">
      <c r="A3" s="64" t="s">
        <v>39</v>
      </c>
      <c r="B3" s="65" t="s">
        <v>85</v>
      </c>
      <c r="C3" s="65" t="s">
        <v>93</v>
      </c>
      <c r="D3" s="65" t="s">
        <v>94</v>
      </c>
      <c r="E3" s="65" t="s">
        <v>95</v>
      </c>
      <c r="F3" s="65" t="s">
        <v>96</v>
      </c>
      <c r="G3" s="65" t="s">
        <v>97</v>
      </c>
      <c r="H3" s="65" t="s">
        <v>98</v>
      </c>
      <c r="I3" s="65" t="s">
        <v>99</v>
      </c>
      <c r="J3" s="65" t="s">
        <v>100</v>
      </c>
      <c r="K3" s="65" t="s">
        <v>101</v>
      </c>
      <c r="L3" s="65" t="s">
        <v>102</v>
      </c>
      <c r="M3" s="65" t="s">
        <v>103</v>
      </c>
      <c r="N3" s="65" t="s">
        <v>104</v>
      </c>
      <c r="O3" s="66" t="s">
        <v>75</v>
      </c>
    </row>
    <row r="4" spans="1:15" s="69" customFormat="1" ht="15" customHeight="1" thickBot="1">
      <c r="A4" s="68" t="s">
        <v>41</v>
      </c>
      <c r="B4" s="759" t="s">
        <v>79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1"/>
    </row>
    <row r="5" spans="1:15" s="69" customFormat="1" ht="22.5">
      <c r="A5" s="70" t="s">
        <v>42</v>
      </c>
      <c r="B5" s="280" t="s">
        <v>341</v>
      </c>
      <c r="C5" s="495">
        <f>89000000-286000</f>
        <v>88714000</v>
      </c>
      <c r="D5" s="495">
        <f>89128000-280000</f>
        <v>88848000</v>
      </c>
      <c r="E5" s="495">
        <f>89000000-285000</f>
        <v>88715000</v>
      </c>
      <c r="F5" s="495">
        <f>89000000-285000</f>
        <v>88715000</v>
      </c>
      <c r="G5" s="495">
        <f>104000000-283192</f>
        <v>103716808</v>
      </c>
      <c r="H5" s="495">
        <f>109000000-283000</f>
        <v>108717000</v>
      </c>
      <c r="I5" s="495">
        <f>115000000-1280000</f>
        <v>113720000</v>
      </c>
      <c r="J5" s="495">
        <f>110000000-1280000</f>
        <v>108720000</v>
      </c>
      <c r="K5" s="495">
        <f>100000000-1280000</f>
        <v>98720000</v>
      </c>
      <c r="L5" s="495">
        <f>96000000-1280000</f>
        <v>94720000</v>
      </c>
      <c r="M5" s="495">
        <f>97000000-1280000</f>
        <v>95720000</v>
      </c>
      <c r="N5" s="495">
        <f>97215400-1280000</f>
        <v>95935400</v>
      </c>
      <c r="O5" s="496">
        <f aca="true" t="shared" si="0" ref="O5:O14">SUM(C5:N5)</f>
        <v>1174961208</v>
      </c>
    </row>
    <row r="6" spans="1:15" s="73" customFormat="1" ht="22.5">
      <c r="A6" s="71" t="s">
        <v>43</v>
      </c>
      <c r="B6" s="140" t="s">
        <v>385</v>
      </c>
      <c r="C6" s="454">
        <f>40000000+3000000</f>
        <v>43000000</v>
      </c>
      <c r="D6" s="454">
        <v>43000000</v>
      </c>
      <c r="E6" s="454">
        <f>38000000+40000000</f>
        <v>78000000</v>
      </c>
      <c r="F6" s="454">
        <f>30000000+40000000+362000</f>
        <v>70362000</v>
      </c>
      <c r="G6" s="454">
        <f>15000000+40000000</f>
        <v>55000000</v>
      </c>
      <c r="H6" s="454">
        <v>40000000</v>
      </c>
      <c r="I6" s="454">
        <v>40000000</v>
      </c>
      <c r="J6" s="454">
        <v>50000000</v>
      </c>
      <c r="K6" s="454">
        <v>40000000</v>
      </c>
      <c r="L6" s="454">
        <v>36790588</v>
      </c>
      <c r="M6" s="454"/>
      <c r="N6" s="454">
        <v>13768000</v>
      </c>
      <c r="O6" s="497">
        <f t="shared" si="0"/>
        <v>509920588</v>
      </c>
    </row>
    <row r="7" spans="1:15" s="73" customFormat="1" ht="22.5">
      <c r="A7" s="71" t="s">
        <v>44</v>
      </c>
      <c r="B7" s="139" t="s">
        <v>386</v>
      </c>
      <c r="C7" s="455"/>
      <c r="D7" s="455"/>
      <c r="E7" s="455">
        <v>500000</v>
      </c>
      <c r="F7" s="455">
        <v>5000000</v>
      </c>
      <c r="G7" s="455">
        <f>3797300+3679276</f>
        <v>7476576</v>
      </c>
      <c r="H7" s="455">
        <v>6000000</v>
      </c>
      <c r="I7" s="455"/>
      <c r="J7" s="455"/>
      <c r="K7" s="455"/>
      <c r="L7" s="455"/>
      <c r="M7" s="455"/>
      <c r="N7" s="455"/>
      <c r="O7" s="497">
        <f t="shared" si="0"/>
        <v>18976576</v>
      </c>
    </row>
    <row r="8" spans="1:15" s="73" customFormat="1" ht="13.5" customHeight="1">
      <c r="A8" s="71" t="s">
        <v>45</v>
      </c>
      <c r="B8" s="138" t="s">
        <v>162</v>
      </c>
      <c r="C8" s="454">
        <v>5000000</v>
      </c>
      <c r="D8" s="454">
        <v>5000000</v>
      </c>
      <c r="E8" s="454">
        <v>120000000</v>
      </c>
      <c r="F8" s="454">
        <v>8390000</v>
      </c>
      <c r="G8" s="454">
        <v>5000000</v>
      </c>
      <c r="H8" s="454">
        <v>3000000</v>
      </c>
      <c r="I8" s="454">
        <v>3000000</v>
      </c>
      <c r="J8" s="454">
        <v>3000000</v>
      </c>
      <c r="K8" s="454">
        <v>120000000</v>
      </c>
      <c r="L8" s="454">
        <v>10000000</v>
      </c>
      <c r="M8" s="454">
        <v>7000000</v>
      </c>
      <c r="N8" s="454">
        <v>30000000</v>
      </c>
      <c r="O8" s="497">
        <f t="shared" si="0"/>
        <v>319390000</v>
      </c>
    </row>
    <row r="9" spans="1:15" s="73" customFormat="1" ht="13.5" customHeight="1">
      <c r="A9" s="71" t="s">
        <v>46</v>
      </c>
      <c r="B9" s="138" t="s">
        <v>387</v>
      </c>
      <c r="C9" s="454">
        <v>37000000</v>
      </c>
      <c r="D9" s="454">
        <v>37000000</v>
      </c>
      <c r="E9" s="454">
        <v>37000000</v>
      </c>
      <c r="F9" s="454">
        <v>37000000</v>
      </c>
      <c r="G9" s="454">
        <v>37000000</v>
      </c>
      <c r="H9" s="454">
        <v>37000000</v>
      </c>
      <c r="I9" s="454">
        <v>37000000</v>
      </c>
      <c r="J9" s="454">
        <v>37000000</v>
      </c>
      <c r="K9" s="454">
        <v>39000000</v>
      </c>
      <c r="L9" s="454">
        <v>39000000</v>
      </c>
      <c r="M9" s="454">
        <v>37054678</v>
      </c>
      <c r="N9" s="454">
        <v>37000000</v>
      </c>
      <c r="O9" s="497">
        <f t="shared" si="0"/>
        <v>448054678</v>
      </c>
    </row>
    <row r="10" spans="1:15" s="73" customFormat="1" ht="13.5" customHeight="1">
      <c r="A10" s="71" t="s">
        <v>47</v>
      </c>
      <c r="B10" s="138" t="s">
        <v>32</v>
      </c>
      <c r="C10" s="454">
        <v>1920000</v>
      </c>
      <c r="D10" s="454">
        <v>3500000</v>
      </c>
      <c r="E10" s="454"/>
      <c r="F10" s="454"/>
      <c r="G10" s="454">
        <v>19759000</v>
      </c>
      <c r="H10" s="454"/>
      <c r="I10" s="454"/>
      <c r="J10" s="454"/>
      <c r="K10" s="454"/>
      <c r="L10" s="454"/>
      <c r="M10" s="454"/>
      <c r="N10" s="454"/>
      <c r="O10" s="497">
        <f t="shared" si="0"/>
        <v>25179000</v>
      </c>
    </row>
    <row r="11" spans="1:15" s="73" customFormat="1" ht="13.5" customHeight="1">
      <c r="A11" s="71" t="s">
        <v>48</v>
      </c>
      <c r="B11" s="138" t="s">
        <v>343</v>
      </c>
      <c r="C11" s="454">
        <v>500000</v>
      </c>
      <c r="D11" s="454">
        <v>500000</v>
      </c>
      <c r="E11" s="454">
        <v>550000</v>
      </c>
      <c r="F11" s="454">
        <v>442000</v>
      </c>
      <c r="G11" s="454">
        <v>450000</v>
      </c>
      <c r="H11" s="454">
        <v>450000</v>
      </c>
      <c r="I11" s="454">
        <v>400000</v>
      </c>
      <c r="J11" s="454">
        <v>300000</v>
      </c>
      <c r="K11" s="454">
        <v>300000</v>
      </c>
      <c r="L11" s="454">
        <v>1666000</v>
      </c>
      <c r="M11" s="454">
        <v>300000</v>
      </c>
      <c r="N11" s="454">
        <v>166000</v>
      </c>
      <c r="O11" s="497">
        <f t="shared" si="0"/>
        <v>6024000</v>
      </c>
    </row>
    <row r="12" spans="1:15" s="73" customFormat="1" ht="22.5">
      <c r="A12" s="71" t="s">
        <v>49</v>
      </c>
      <c r="B12" s="140" t="s">
        <v>373</v>
      </c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97">
        <f t="shared" si="0"/>
        <v>0</v>
      </c>
    </row>
    <row r="13" spans="1:15" s="73" customFormat="1" ht="13.5" customHeight="1" thickBot="1">
      <c r="A13" s="71" t="s">
        <v>50</v>
      </c>
      <c r="B13" s="138" t="s">
        <v>33</v>
      </c>
      <c r="C13" s="72">
        <v>292999415</v>
      </c>
      <c r="D13" s="72"/>
      <c r="E13" s="72">
        <v>10000000</v>
      </c>
      <c r="F13" s="72"/>
      <c r="G13" s="72"/>
      <c r="H13" s="72">
        <v>20000000</v>
      </c>
      <c r="I13" s="72">
        <v>64100000</v>
      </c>
      <c r="J13" s="72">
        <v>20000000</v>
      </c>
      <c r="K13" s="72">
        <v>10000000</v>
      </c>
      <c r="L13" s="72"/>
      <c r="M13" s="72">
        <v>20000000</v>
      </c>
      <c r="N13" s="454"/>
      <c r="O13" s="497">
        <f t="shared" si="0"/>
        <v>437099415</v>
      </c>
    </row>
    <row r="14" spans="1:15" s="69" customFormat="1" ht="15.75" customHeight="1" thickBot="1">
      <c r="A14" s="68" t="s">
        <v>51</v>
      </c>
      <c r="B14" s="35" t="s">
        <v>128</v>
      </c>
      <c r="C14" s="74">
        <f aca="true" t="shared" si="1" ref="C14:N14">SUM(C5:C13)</f>
        <v>469133415</v>
      </c>
      <c r="D14" s="74">
        <f t="shared" si="1"/>
        <v>177848000</v>
      </c>
      <c r="E14" s="74">
        <f t="shared" si="1"/>
        <v>334765000</v>
      </c>
      <c r="F14" s="74">
        <f t="shared" si="1"/>
        <v>209909000</v>
      </c>
      <c r="G14" s="74">
        <f t="shared" si="1"/>
        <v>228402384</v>
      </c>
      <c r="H14" s="74">
        <f t="shared" si="1"/>
        <v>215167000</v>
      </c>
      <c r="I14" s="74">
        <f t="shared" si="1"/>
        <v>258220000</v>
      </c>
      <c r="J14" s="74">
        <f t="shared" si="1"/>
        <v>219020000</v>
      </c>
      <c r="K14" s="74">
        <f t="shared" si="1"/>
        <v>308020000</v>
      </c>
      <c r="L14" s="74">
        <f t="shared" si="1"/>
        <v>182176588</v>
      </c>
      <c r="M14" s="74">
        <f t="shared" si="1"/>
        <v>160074678</v>
      </c>
      <c r="N14" s="74">
        <f t="shared" si="1"/>
        <v>176869400</v>
      </c>
      <c r="O14" s="75">
        <f t="shared" si="0"/>
        <v>2939605465</v>
      </c>
    </row>
    <row r="15" spans="1:15" s="69" customFormat="1" ht="15" customHeight="1" thickBot="1">
      <c r="A15" s="68" t="s">
        <v>52</v>
      </c>
      <c r="B15" s="759" t="s">
        <v>80</v>
      </c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1"/>
    </row>
    <row r="16" spans="1:15" s="73" customFormat="1" ht="13.5" customHeight="1">
      <c r="A16" s="76" t="s">
        <v>53</v>
      </c>
      <c r="B16" s="141" t="s">
        <v>86</v>
      </c>
      <c r="C16" s="455">
        <v>83000000</v>
      </c>
      <c r="D16" s="455">
        <v>83105000</v>
      </c>
      <c r="E16" s="455">
        <f>83000000+31471300</f>
        <v>114471300</v>
      </c>
      <c r="F16" s="455">
        <f>81000000+31471300+326126</f>
        <v>112797426</v>
      </c>
      <c r="G16" s="455">
        <f>81000000+31471300</f>
        <v>112471300</v>
      </c>
      <c r="H16" s="455">
        <f>82000000+31471300</f>
        <v>113471300</v>
      </c>
      <c r="I16" s="455">
        <f>81000000+31471300</f>
        <v>112471300</v>
      </c>
      <c r="J16" s="455">
        <f>81000000+31471300</f>
        <v>112471300</v>
      </c>
      <c r="K16" s="455">
        <f>81000000+31471300</f>
        <v>112471300</v>
      </c>
      <c r="L16" s="455">
        <f>81205571+31471295</f>
        <v>112676866</v>
      </c>
      <c r="M16" s="455">
        <f>81000000</f>
        <v>81000000</v>
      </c>
      <c r="N16" s="455">
        <v>81000000</v>
      </c>
      <c r="O16" s="498">
        <f aca="true" t="shared" si="2" ref="O16:O26">SUM(C16:N16)</f>
        <v>1231407092</v>
      </c>
    </row>
    <row r="17" spans="1:15" s="73" customFormat="1" ht="27" customHeight="1">
      <c r="A17" s="71" t="s">
        <v>54</v>
      </c>
      <c r="B17" s="140" t="s">
        <v>171</v>
      </c>
      <c r="C17" s="454">
        <f>17840000+340000</f>
        <v>18180000</v>
      </c>
      <c r="D17" s="454">
        <f>17863000+335000</f>
        <v>18198000</v>
      </c>
      <c r="E17" s="454">
        <f>17840000+3461842+407211</f>
        <v>21709053</v>
      </c>
      <c r="F17" s="454">
        <f>17400000+3461842+35874</f>
        <v>20897716</v>
      </c>
      <c r="G17" s="454">
        <f>17400000+364361+3461842</f>
        <v>21226203</v>
      </c>
      <c r="H17" s="454">
        <f>17620000+3461842</f>
        <v>21081842</v>
      </c>
      <c r="I17" s="454">
        <f>17400000+3461842</f>
        <v>20861842</v>
      </c>
      <c r="J17" s="454">
        <f>17400000+3461842</f>
        <v>20861842</v>
      </c>
      <c r="K17" s="454">
        <f>17400000+3461842</f>
        <v>20861842</v>
      </c>
      <c r="L17" s="454">
        <f>17440000+3461842</f>
        <v>20901842</v>
      </c>
      <c r="M17" s="454">
        <v>17400000</v>
      </c>
      <c r="N17" s="454">
        <v>17400000</v>
      </c>
      <c r="O17" s="497">
        <f t="shared" si="2"/>
        <v>239580182</v>
      </c>
    </row>
    <row r="18" spans="1:15" s="73" customFormat="1" ht="13.5" customHeight="1">
      <c r="A18" s="71" t="s">
        <v>55</v>
      </c>
      <c r="B18" s="138" t="s">
        <v>146</v>
      </c>
      <c r="C18" s="454">
        <v>84000000</v>
      </c>
      <c r="D18" s="454">
        <v>84000000</v>
      </c>
      <c r="E18" s="454">
        <f>84000000+4158000</f>
        <v>88158000</v>
      </c>
      <c r="F18" s="454">
        <f>75000000+4158000</f>
        <v>79158000</v>
      </c>
      <c r="G18" s="454">
        <f>74000000+4158000+200000</f>
        <v>78358000</v>
      </c>
      <c r="H18" s="454">
        <f>52397442+4158000+200000</f>
        <v>56755442</v>
      </c>
      <c r="I18" s="454">
        <f>60000000+4158000+200000</f>
        <v>64358000</v>
      </c>
      <c r="J18" s="454">
        <f>60000000+4158000+200000</f>
        <v>64358000</v>
      </c>
      <c r="K18" s="454">
        <f>55000000+4158000+200000</f>
        <v>59358000</v>
      </c>
      <c r="L18" s="454">
        <f>65000000+4158000+200000</f>
        <v>69358000</v>
      </c>
      <c r="M18" s="454">
        <f>75000000+4158000+200000</f>
        <v>79358000</v>
      </c>
      <c r="N18" s="454">
        <f>84000000+4158000-96+200000</f>
        <v>88357904</v>
      </c>
      <c r="O18" s="497">
        <f t="shared" si="2"/>
        <v>895577346</v>
      </c>
    </row>
    <row r="19" spans="1:15" s="73" customFormat="1" ht="13.5" customHeight="1">
      <c r="A19" s="71" t="s">
        <v>56</v>
      </c>
      <c r="B19" s="138" t="s">
        <v>172</v>
      </c>
      <c r="C19" s="454">
        <v>4000000</v>
      </c>
      <c r="D19" s="454">
        <v>4000000</v>
      </c>
      <c r="E19" s="454">
        <v>5000000</v>
      </c>
      <c r="F19" s="454">
        <v>4000000</v>
      </c>
      <c r="G19" s="454">
        <v>5000000</v>
      </c>
      <c r="H19" s="454">
        <v>5000000</v>
      </c>
      <c r="I19" s="454">
        <v>4000000</v>
      </c>
      <c r="J19" s="454">
        <v>17000000</v>
      </c>
      <c r="K19" s="454">
        <v>5000000</v>
      </c>
      <c r="L19" s="454">
        <v>4230000</v>
      </c>
      <c r="M19" s="454">
        <v>17000000</v>
      </c>
      <c r="N19" s="454">
        <v>21000000</v>
      </c>
      <c r="O19" s="497">
        <f t="shared" si="2"/>
        <v>95230000</v>
      </c>
    </row>
    <row r="20" spans="1:15" s="73" customFormat="1" ht="13.5" customHeight="1">
      <c r="A20" s="71" t="s">
        <v>57</v>
      </c>
      <c r="B20" s="138" t="s">
        <v>34</v>
      </c>
      <c r="C20" s="454">
        <v>1500</v>
      </c>
      <c r="D20" s="454"/>
      <c r="E20" s="454">
        <f>8000000+3500000</f>
        <v>11500000</v>
      </c>
      <c r="F20" s="454">
        <v>2000000</v>
      </c>
      <c r="G20" s="454">
        <v>2000000</v>
      </c>
      <c r="H20" s="454">
        <v>10000000</v>
      </c>
      <c r="I20" s="454">
        <v>1165000</v>
      </c>
      <c r="J20" s="454">
        <v>1000000</v>
      </c>
      <c r="K20" s="454">
        <v>8000000</v>
      </c>
      <c r="L20" s="454">
        <v>2000000</v>
      </c>
      <c r="M20" s="454">
        <v>2000000</v>
      </c>
      <c r="N20" s="454">
        <v>1000000</v>
      </c>
      <c r="O20" s="497">
        <f t="shared" si="2"/>
        <v>40666500</v>
      </c>
    </row>
    <row r="21" spans="1:16" s="73" customFormat="1" ht="13.5" customHeight="1">
      <c r="A21" s="71" t="s">
        <v>58</v>
      </c>
      <c r="B21" s="138" t="s">
        <v>191</v>
      </c>
      <c r="C21" s="454">
        <v>2000000</v>
      </c>
      <c r="D21" s="454">
        <v>2000000</v>
      </c>
      <c r="E21" s="454">
        <v>2500000</v>
      </c>
      <c r="F21" s="454">
        <v>4500000</v>
      </c>
      <c r="G21" s="454">
        <v>8000000</v>
      </c>
      <c r="H21" s="454">
        <v>8500000</v>
      </c>
      <c r="I21" s="454">
        <f>2500000+18116187+2239176</f>
        <v>22855363</v>
      </c>
      <c r="J21" s="454">
        <v>3000000</v>
      </c>
      <c r="K21" s="454">
        <v>2000000</v>
      </c>
      <c r="L21" s="454">
        <v>2000000</v>
      </c>
      <c r="M21" s="454">
        <v>3000000</v>
      </c>
      <c r="N21" s="454">
        <v>2000000</v>
      </c>
      <c r="O21" s="497">
        <f t="shared" si="2"/>
        <v>62355363</v>
      </c>
      <c r="P21" s="493"/>
    </row>
    <row r="22" spans="1:15" s="73" customFormat="1" ht="15.75">
      <c r="A22" s="71" t="s">
        <v>59</v>
      </c>
      <c r="B22" s="140" t="s">
        <v>175</v>
      </c>
      <c r="C22" s="454"/>
      <c r="D22" s="454"/>
      <c r="E22" s="454">
        <v>365393</v>
      </c>
      <c r="F22" s="454"/>
      <c r="G22" s="454">
        <v>2158000</v>
      </c>
      <c r="H22" s="454">
        <v>2000000</v>
      </c>
      <c r="I22" s="454">
        <v>70000000</v>
      </c>
      <c r="J22" s="454">
        <v>3000000</v>
      </c>
      <c r="K22" s="454"/>
      <c r="L22" s="454">
        <v>2500000</v>
      </c>
      <c r="M22" s="454"/>
      <c r="N22" s="454"/>
      <c r="O22" s="497">
        <f t="shared" si="2"/>
        <v>80023393</v>
      </c>
    </row>
    <row r="23" spans="1:15" s="73" customFormat="1" ht="13.5" customHeight="1">
      <c r="A23" s="71" t="s">
        <v>60</v>
      </c>
      <c r="B23" s="138" t="s">
        <v>193</v>
      </c>
      <c r="C23" s="454"/>
      <c r="D23" s="454"/>
      <c r="E23" s="454"/>
      <c r="F23" s="454">
        <v>2400000</v>
      </c>
      <c r="G23" s="454"/>
      <c r="H23" s="454"/>
      <c r="I23" s="454">
        <v>42072000</v>
      </c>
      <c r="J23" s="454"/>
      <c r="K23" s="454"/>
      <c r="L23" s="454"/>
      <c r="M23" s="454"/>
      <c r="N23" s="454"/>
      <c r="O23" s="497">
        <f t="shared" si="2"/>
        <v>44472000</v>
      </c>
    </row>
    <row r="24" spans="1:15" s="73" customFormat="1" ht="13.5" customHeight="1">
      <c r="A24" s="71" t="s">
        <v>61</v>
      </c>
      <c r="B24" s="138" t="s">
        <v>73</v>
      </c>
      <c r="C24" s="454"/>
      <c r="D24" s="454"/>
      <c r="E24" s="454">
        <v>500000</v>
      </c>
      <c r="F24" s="454">
        <f>14000000-1700000-1600000</f>
        <v>10700000</v>
      </c>
      <c r="G24" s="454">
        <f>14000000-1700000</f>
        <v>12300000</v>
      </c>
      <c r="H24" s="454">
        <f>15000000-1700000</f>
        <v>13300000</v>
      </c>
      <c r="I24" s="454">
        <f>15000000-1700000</f>
        <v>13300000</v>
      </c>
      <c r="J24" s="454">
        <f>15000000-1700000</f>
        <v>13300000</v>
      </c>
      <c r="K24" s="454">
        <f>14613300-1700000</f>
        <v>12913300</v>
      </c>
      <c r="L24" s="454">
        <f>14500000-1700000</f>
        <v>12800000</v>
      </c>
      <c r="M24" s="454">
        <f>14000000-1700000</f>
        <v>12300000</v>
      </c>
      <c r="N24" s="454">
        <f>14000000-1700000-1745643</f>
        <v>10554357</v>
      </c>
      <c r="O24" s="497">
        <f t="shared" si="2"/>
        <v>111967657</v>
      </c>
    </row>
    <row r="25" spans="1:15" s="73" customFormat="1" ht="13.5" customHeight="1" thickBot="1">
      <c r="A25" s="71" t="s">
        <v>62</v>
      </c>
      <c r="B25" s="138" t="s">
        <v>35</v>
      </c>
      <c r="C25" s="72">
        <v>35164932</v>
      </c>
      <c r="D25" s="72"/>
      <c r="E25" s="72">
        <v>790000</v>
      </c>
      <c r="F25" s="454"/>
      <c r="G25" s="72"/>
      <c r="H25" s="72">
        <v>790000</v>
      </c>
      <c r="I25" s="72"/>
      <c r="J25" s="72"/>
      <c r="K25" s="72">
        <v>791000</v>
      </c>
      <c r="L25" s="72">
        <v>70000000</v>
      </c>
      <c r="M25" s="72"/>
      <c r="N25" s="72">
        <v>30790000</v>
      </c>
      <c r="O25" s="497">
        <f t="shared" si="2"/>
        <v>138325932</v>
      </c>
    </row>
    <row r="26" spans="1:15" s="69" customFormat="1" ht="15.75" customHeight="1" thickBot="1">
      <c r="A26" s="77" t="s">
        <v>63</v>
      </c>
      <c r="B26" s="35" t="s">
        <v>129</v>
      </c>
      <c r="C26" s="74">
        <f aca="true" t="shared" si="3" ref="C26:N26">SUM(C16:C25)</f>
        <v>226346432</v>
      </c>
      <c r="D26" s="74">
        <f t="shared" si="3"/>
        <v>191303000</v>
      </c>
      <c r="E26" s="74">
        <f t="shared" si="3"/>
        <v>244993746</v>
      </c>
      <c r="F26" s="74">
        <f t="shared" si="3"/>
        <v>236453142</v>
      </c>
      <c r="G26" s="74">
        <f t="shared" si="3"/>
        <v>241513503</v>
      </c>
      <c r="H26" s="74">
        <f t="shared" si="3"/>
        <v>230898584</v>
      </c>
      <c r="I26" s="74">
        <f t="shared" si="3"/>
        <v>351083505</v>
      </c>
      <c r="J26" s="74">
        <f t="shared" si="3"/>
        <v>234991142</v>
      </c>
      <c r="K26" s="74">
        <f t="shared" si="3"/>
        <v>221395442</v>
      </c>
      <c r="L26" s="74">
        <f t="shared" si="3"/>
        <v>296466708</v>
      </c>
      <c r="M26" s="74">
        <f t="shared" si="3"/>
        <v>212058000</v>
      </c>
      <c r="N26" s="74">
        <f t="shared" si="3"/>
        <v>252102261</v>
      </c>
      <c r="O26" s="75">
        <f t="shared" si="2"/>
        <v>2939605465</v>
      </c>
    </row>
    <row r="27" spans="1:15" ht="16.5" thickBot="1">
      <c r="A27" s="77" t="s">
        <v>64</v>
      </c>
      <c r="B27" s="142" t="s">
        <v>130</v>
      </c>
      <c r="C27" s="78">
        <f aca="true" t="shared" si="4" ref="C27:O27">C14-C26</f>
        <v>242786983</v>
      </c>
      <c r="D27" s="78">
        <f t="shared" si="4"/>
        <v>-13455000</v>
      </c>
      <c r="E27" s="78">
        <f t="shared" si="4"/>
        <v>89771254</v>
      </c>
      <c r="F27" s="78">
        <f t="shared" si="4"/>
        <v>-26544142</v>
      </c>
      <c r="G27" s="78">
        <f t="shared" si="4"/>
        <v>-13111119</v>
      </c>
      <c r="H27" s="78">
        <f t="shared" si="4"/>
        <v>-15731584</v>
      </c>
      <c r="I27" s="78">
        <f t="shared" si="4"/>
        <v>-92863505</v>
      </c>
      <c r="J27" s="78">
        <f t="shared" si="4"/>
        <v>-15971142</v>
      </c>
      <c r="K27" s="78">
        <f t="shared" si="4"/>
        <v>86624558</v>
      </c>
      <c r="L27" s="78">
        <f t="shared" si="4"/>
        <v>-114290120</v>
      </c>
      <c r="M27" s="78">
        <f t="shared" si="4"/>
        <v>-51983322</v>
      </c>
      <c r="N27" s="78">
        <f t="shared" si="4"/>
        <v>-75232861</v>
      </c>
      <c r="O27" s="79">
        <f t="shared" si="4"/>
        <v>0</v>
      </c>
    </row>
    <row r="28" ht="15.75">
      <c r="A28" s="81"/>
    </row>
    <row r="29" spans="2:15" ht="15.75">
      <c r="B29" s="82"/>
      <c r="C29" s="83"/>
      <c r="D29" s="83"/>
      <c r="O29" s="80"/>
    </row>
    <row r="30" ht="15.75">
      <c r="O30" s="80"/>
    </row>
    <row r="31" ht="15.75">
      <c r="O31" s="80"/>
    </row>
    <row r="32" ht="15.75">
      <c r="O32" s="80"/>
    </row>
    <row r="33" ht="15.75">
      <c r="O33" s="80"/>
    </row>
    <row r="34" ht="15.75">
      <c r="O34" s="80"/>
    </row>
    <row r="35" ht="15.75">
      <c r="O35" s="80"/>
    </row>
    <row r="36" ht="15.75">
      <c r="O36" s="80"/>
    </row>
    <row r="37" ht="15.75">
      <c r="O37" s="80"/>
    </row>
    <row r="38" ht="15.75">
      <c r="O38" s="80"/>
    </row>
    <row r="39" ht="15.75">
      <c r="O39" s="80"/>
    </row>
    <row r="40" ht="15.75">
      <c r="O40" s="80"/>
    </row>
    <row r="41" ht="15.75">
      <c r="O41" s="80"/>
    </row>
    <row r="42" ht="15.75">
      <c r="O42" s="80"/>
    </row>
    <row r="43" ht="15.75">
      <c r="O43" s="80"/>
    </row>
    <row r="44" ht="15.75">
      <c r="O44" s="80"/>
    </row>
    <row r="45" ht="15.75">
      <c r="O45" s="80"/>
    </row>
    <row r="46" ht="15.75">
      <c r="O46" s="80"/>
    </row>
    <row r="47" ht="15.75">
      <c r="O47" s="80"/>
    </row>
    <row r="48" ht="15.75">
      <c r="O48" s="80"/>
    </row>
    <row r="49" ht="15.75">
      <c r="O49" s="80"/>
    </row>
    <row r="50" ht="15.75">
      <c r="O50" s="80"/>
    </row>
    <row r="51" ht="15.75">
      <c r="O51" s="80"/>
    </row>
    <row r="52" ht="15.75">
      <c r="O52" s="80"/>
    </row>
    <row r="53" ht="15.75">
      <c r="O53" s="80"/>
    </row>
    <row r="54" ht="15.75">
      <c r="O54" s="80"/>
    </row>
    <row r="55" ht="15.75">
      <c r="O55" s="80"/>
    </row>
    <row r="56" ht="15.75">
      <c r="O56" s="80"/>
    </row>
    <row r="57" ht="15.75">
      <c r="O57" s="80"/>
    </row>
    <row r="58" ht="15.75">
      <c r="O58" s="80"/>
    </row>
    <row r="59" ht="15.75">
      <c r="O59" s="80"/>
    </row>
    <row r="60" ht="15.75">
      <c r="O60" s="80"/>
    </row>
    <row r="61" ht="15.75">
      <c r="O61" s="80"/>
    </row>
    <row r="62" ht="15.75">
      <c r="O62" s="80"/>
    </row>
    <row r="63" ht="15.75">
      <c r="O63" s="80"/>
    </row>
    <row r="64" ht="15.75">
      <c r="O64" s="80"/>
    </row>
    <row r="65" ht="15.75">
      <c r="O65" s="80"/>
    </row>
    <row r="66" ht="15.75">
      <c r="O66" s="80"/>
    </row>
    <row r="67" ht="15.75">
      <c r="O67" s="80"/>
    </row>
    <row r="68" ht="15.75">
      <c r="O68" s="80"/>
    </row>
    <row r="69" ht="15.75">
      <c r="O69" s="80"/>
    </row>
    <row r="70" ht="15.75">
      <c r="O70" s="80"/>
    </row>
    <row r="71" ht="15.75">
      <c r="O71" s="80"/>
    </row>
    <row r="72" ht="15.75">
      <c r="O72" s="80"/>
    </row>
    <row r="73" ht="15.75">
      <c r="O73" s="80"/>
    </row>
    <row r="74" ht="15.75">
      <c r="O74" s="80"/>
    </row>
    <row r="75" ht="15.75">
      <c r="O75" s="80"/>
    </row>
    <row r="76" ht="15.75">
      <c r="O76" s="80"/>
    </row>
    <row r="77" ht="15.75">
      <c r="O77" s="80"/>
    </row>
    <row r="78" ht="15.75">
      <c r="O78" s="80"/>
    </row>
    <row r="79" ht="15.75">
      <c r="O79" s="80"/>
    </row>
    <row r="80" ht="15.75">
      <c r="O80" s="80"/>
    </row>
    <row r="81" ht="15.75">
      <c r="O81" s="80"/>
    </row>
    <row r="82" ht="15.75">
      <c r="O82" s="8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30. melléklet a 11/2017.(III.30.)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C42"/>
  <sheetViews>
    <sheetView workbookViewId="0" topLeftCell="A1">
      <selection activeCell="A41" sqref="A41"/>
    </sheetView>
  </sheetViews>
  <sheetFormatPr defaultColWidth="9.00390625" defaultRowHeight="12.75"/>
  <cols>
    <col min="1" max="1" width="60.125" style="357" customWidth="1"/>
    <col min="2" max="2" width="48.875" style="361" customWidth="1"/>
    <col min="3" max="3" width="16.50390625" style="357" bestFit="1" customWidth="1"/>
    <col min="4" max="16384" width="10.625" style="357" customWidth="1"/>
  </cols>
  <sheetData>
    <row r="1" spans="1:2" ht="12.75">
      <c r="A1" s="764"/>
      <c r="B1" s="764"/>
    </row>
    <row r="2" spans="1:2" ht="17.25" customHeight="1">
      <c r="A2" s="358"/>
      <c r="B2" s="478"/>
    </row>
    <row r="3" spans="1:2" ht="42" customHeight="1">
      <c r="A3" s="768" t="s">
        <v>660</v>
      </c>
      <c r="B3" s="768"/>
    </row>
    <row r="4" spans="1:2" ht="33" customHeight="1" thickBot="1">
      <c r="A4" s="359"/>
      <c r="B4" s="220" t="s">
        <v>36</v>
      </c>
    </row>
    <row r="5" spans="1:2" ht="12.75">
      <c r="A5" s="765" t="s">
        <v>85</v>
      </c>
      <c r="B5" s="765" t="s">
        <v>661</v>
      </c>
    </row>
    <row r="6" spans="1:2" ht="12.75">
      <c r="A6" s="766"/>
      <c r="B6" s="766"/>
    </row>
    <row r="7" spans="1:2" ht="13.5" thickBot="1">
      <c r="A7" s="766"/>
      <c r="B7" s="767"/>
    </row>
    <row r="8" spans="1:2" ht="23.25" customHeight="1" thickBot="1">
      <c r="A8" s="143" t="s">
        <v>74</v>
      </c>
      <c r="B8" s="360"/>
    </row>
    <row r="9" spans="1:2" ht="24" customHeight="1">
      <c r="A9" s="627"/>
      <c r="B9" s="618"/>
    </row>
    <row r="10" spans="1:2" ht="18" customHeight="1">
      <c r="A10" s="628" t="s">
        <v>437</v>
      </c>
      <c r="B10" s="619">
        <v>149949200</v>
      </c>
    </row>
    <row r="11" spans="1:2" ht="39" customHeight="1">
      <c r="A11" s="629" t="s">
        <v>438</v>
      </c>
      <c r="B11" s="620">
        <v>73296490</v>
      </c>
    </row>
    <row r="12" spans="1:2" ht="39" customHeight="1">
      <c r="A12" s="629" t="s">
        <v>439</v>
      </c>
      <c r="B12" s="620">
        <v>17077340</v>
      </c>
    </row>
    <row r="13" spans="1:2" ht="39" customHeight="1">
      <c r="A13" s="629" t="s">
        <v>440</v>
      </c>
      <c r="B13" s="620">
        <v>35360000</v>
      </c>
    </row>
    <row r="14" spans="1:2" ht="39" customHeight="1">
      <c r="A14" s="629" t="s">
        <v>441</v>
      </c>
      <c r="B14" s="620">
        <v>100000</v>
      </c>
    </row>
    <row r="15" spans="1:2" ht="39" customHeight="1">
      <c r="A15" s="629" t="s">
        <v>442</v>
      </c>
      <c r="B15" s="620">
        <v>20759150</v>
      </c>
    </row>
    <row r="16" spans="1:2" ht="39" customHeight="1">
      <c r="A16" s="629" t="s">
        <v>443</v>
      </c>
      <c r="B16" s="620">
        <v>4116399</v>
      </c>
    </row>
    <row r="17" spans="1:2" ht="39" customHeight="1">
      <c r="A17" s="629" t="s">
        <v>453</v>
      </c>
      <c r="B17" s="620">
        <v>150450</v>
      </c>
    </row>
    <row r="18" spans="1:2" ht="39" customHeight="1">
      <c r="A18" s="630" t="s">
        <v>601</v>
      </c>
      <c r="B18" s="621">
        <f>SUM(B10+B11+B16+B17)</f>
        <v>227512539</v>
      </c>
    </row>
    <row r="19" spans="1:2" ht="39" customHeight="1">
      <c r="A19" s="629" t="s">
        <v>683</v>
      </c>
      <c r="B19" s="620">
        <v>905743</v>
      </c>
    </row>
    <row r="20" spans="1:2" ht="39" customHeight="1">
      <c r="A20" s="630" t="s">
        <v>628</v>
      </c>
      <c r="B20" s="621">
        <f>SUM(B18:B19)</f>
        <v>228418282</v>
      </c>
    </row>
    <row r="21" spans="1:2" ht="36" customHeight="1">
      <c r="A21" s="631" t="s">
        <v>444</v>
      </c>
      <c r="B21" s="620">
        <f>91185960+25200000+49168900+12600000+1260600</f>
        <v>179415460</v>
      </c>
    </row>
    <row r="22" spans="1:2" ht="30.75" customHeight="1">
      <c r="A22" s="632" t="s">
        <v>445</v>
      </c>
      <c r="B22" s="620">
        <v>29766034</v>
      </c>
    </row>
    <row r="23" spans="1:2" ht="30.75" customHeight="1">
      <c r="A23" s="631" t="s">
        <v>627</v>
      </c>
      <c r="B23" s="620"/>
    </row>
    <row r="24" spans="1:2" ht="30.75" customHeight="1">
      <c r="A24" s="631" t="s">
        <v>629</v>
      </c>
      <c r="B24" s="620">
        <v>8925800</v>
      </c>
    </row>
    <row r="25" spans="1:2" ht="31.5" customHeight="1">
      <c r="A25" s="518" t="s">
        <v>446</v>
      </c>
      <c r="B25" s="621">
        <f>SUM(B21:B24)</f>
        <v>218107294</v>
      </c>
    </row>
    <row r="26" spans="1:2" ht="31.5" customHeight="1">
      <c r="A26" s="633" t="s">
        <v>602</v>
      </c>
      <c r="B26" s="620">
        <f>5100000+15900000+775040+25000+11130000+2180000+30634200+1556415+543510+3000000+12562200</f>
        <v>83406365</v>
      </c>
    </row>
    <row r="27" spans="1:2" ht="28.5" customHeight="1">
      <c r="A27" s="634" t="s">
        <v>447</v>
      </c>
      <c r="B27" s="620">
        <v>121200000</v>
      </c>
    </row>
    <row r="28" spans="1:3" ht="60" customHeight="1">
      <c r="A28" s="635" t="s">
        <v>626</v>
      </c>
      <c r="B28" s="620">
        <f>75575160+42848000</f>
        <v>118423160</v>
      </c>
      <c r="C28" s="361"/>
    </row>
    <row r="29" spans="1:2" ht="23.25" customHeight="1">
      <c r="A29" s="632" t="s">
        <v>448</v>
      </c>
      <c r="B29" s="620">
        <f>49971840</f>
        <v>49971840</v>
      </c>
    </row>
    <row r="30" spans="1:2" ht="20.25" customHeight="1">
      <c r="A30" s="634" t="s">
        <v>449</v>
      </c>
      <c r="B30" s="620">
        <v>79425650</v>
      </c>
    </row>
    <row r="31" spans="1:2" ht="26.25" customHeight="1">
      <c r="A31" s="539" t="s">
        <v>25</v>
      </c>
      <c r="B31" s="620">
        <f>48199770</f>
        <v>48199770</v>
      </c>
    </row>
    <row r="32" spans="1:2" ht="26.25" customHeight="1">
      <c r="A32" s="539" t="s">
        <v>26</v>
      </c>
      <c r="B32" s="620">
        <v>4526280</v>
      </c>
    </row>
    <row r="33" spans="1:3" ht="34.5" customHeight="1">
      <c r="A33" s="518" t="s">
        <v>450</v>
      </c>
      <c r="B33" s="621">
        <f>SUM(B26+B27+B28+B29+B30+B31+B32)</f>
        <v>505153065</v>
      </c>
      <c r="C33" s="479"/>
    </row>
    <row r="34" spans="1:2" ht="27.75" customHeight="1">
      <c r="A34" s="636" t="s">
        <v>451</v>
      </c>
      <c r="B34" s="622">
        <f>B35+B36</f>
        <v>25891320</v>
      </c>
    </row>
    <row r="35" spans="1:2" ht="30" customHeight="1">
      <c r="A35" s="539" t="s">
        <v>452</v>
      </c>
      <c r="B35" s="623">
        <v>10629000</v>
      </c>
    </row>
    <row r="36" spans="1:2" ht="30" customHeight="1">
      <c r="A36" s="539" t="s">
        <v>27</v>
      </c>
      <c r="B36" s="623">
        <v>15262320</v>
      </c>
    </row>
    <row r="37" spans="1:2" ht="30" customHeight="1">
      <c r="A37" s="596" t="s">
        <v>685</v>
      </c>
      <c r="B37" s="620">
        <v>4412740</v>
      </c>
    </row>
    <row r="38" spans="1:2" ht="30" customHeight="1">
      <c r="A38" s="596" t="s">
        <v>4</v>
      </c>
      <c r="B38" s="620">
        <f>2645257+413944</f>
        <v>3059201</v>
      </c>
    </row>
    <row r="39" spans="1:2" ht="30" customHeight="1">
      <c r="A39" s="539" t="s">
        <v>5</v>
      </c>
      <c r="B39" s="623">
        <f>4017231+9514709</f>
        <v>13531940</v>
      </c>
    </row>
    <row r="40" spans="1:2" ht="31.5" customHeight="1">
      <c r="A40" s="617" t="s">
        <v>684</v>
      </c>
      <c r="B40" s="624">
        <v>7493769</v>
      </c>
    </row>
    <row r="41" spans="1:2" ht="31.5" customHeight="1" thickBot="1">
      <c r="A41" s="597" t="s">
        <v>699</v>
      </c>
      <c r="B41" s="625">
        <v>1060845</v>
      </c>
    </row>
    <row r="42" spans="1:2" ht="19.5" thickBot="1">
      <c r="A42" s="637" t="s">
        <v>75</v>
      </c>
      <c r="B42" s="626">
        <f>SUM(B20+B25+B33+B34+B38+B39+B40+B37+B41)</f>
        <v>1007128456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&amp;R31. melléklet a 11/2017.(III.30.)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F38"/>
  <sheetViews>
    <sheetView workbookViewId="0" topLeftCell="A1">
      <selection activeCell="D19" sqref="D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72" t="s">
        <v>662</v>
      </c>
      <c r="B1" s="772"/>
      <c r="C1" s="772"/>
      <c r="D1" s="772"/>
    </row>
    <row r="2" spans="1:4" ht="17.25" customHeight="1">
      <c r="A2" s="219"/>
      <c r="B2" s="219"/>
      <c r="C2" s="219"/>
      <c r="D2" s="219"/>
    </row>
    <row r="3" spans="1:4" ht="13.5" thickBot="1">
      <c r="A3" s="103"/>
      <c r="B3" s="103"/>
      <c r="C3" s="769" t="s">
        <v>686</v>
      </c>
      <c r="D3" s="769"/>
    </row>
    <row r="4" spans="1:4" ht="42.75" customHeight="1" thickBot="1">
      <c r="A4" s="221" t="s">
        <v>92</v>
      </c>
      <c r="B4" s="222" t="s">
        <v>139</v>
      </c>
      <c r="C4" s="222" t="s">
        <v>140</v>
      </c>
      <c r="D4" s="223" t="s">
        <v>37</v>
      </c>
    </row>
    <row r="5" spans="1:6" ht="15.75" customHeight="1">
      <c r="A5" s="104" t="s">
        <v>41</v>
      </c>
      <c r="B5" s="27" t="s">
        <v>454</v>
      </c>
      <c r="C5" s="362" t="s">
        <v>455</v>
      </c>
      <c r="D5" s="28">
        <v>5000000</v>
      </c>
      <c r="E5" s="41"/>
      <c r="F5" s="41"/>
    </row>
    <row r="6" spans="1:6" ht="15.75" customHeight="1">
      <c r="A6" s="104" t="s">
        <v>42</v>
      </c>
      <c r="B6" s="29" t="s">
        <v>456</v>
      </c>
      <c r="C6" s="31" t="s">
        <v>455</v>
      </c>
      <c r="D6" s="30">
        <v>1500000</v>
      </c>
      <c r="E6" s="41"/>
      <c r="F6" s="41"/>
    </row>
    <row r="7" spans="1:6" ht="15.75" customHeight="1">
      <c r="A7" s="104" t="s">
        <v>43</v>
      </c>
      <c r="B7" s="29" t="s">
        <v>457</v>
      </c>
      <c r="C7" s="31" t="s">
        <v>455</v>
      </c>
      <c r="D7" s="30">
        <v>500000</v>
      </c>
      <c r="E7" s="41"/>
      <c r="F7" s="41"/>
    </row>
    <row r="8" spans="1:6" ht="15.75" customHeight="1">
      <c r="A8" s="104" t="s">
        <v>44</v>
      </c>
      <c r="B8" s="29" t="s">
        <v>458</v>
      </c>
      <c r="C8" s="29" t="s">
        <v>455</v>
      </c>
      <c r="D8" s="30">
        <v>4000000</v>
      </c>
      <c r="E8" s="41"/>
      <c r="F8" s="41"/>
    </row>
    <row r="9" spans="1:6" ht="15.75" customHeight="1">
      <c r="A9" s="104" t="s">
        <v>45</v>
      </c>
      <c r="B9" s="29" t="s">
        <v>459</v>
      </c>
      <c r="C9" s="364" t="s">
        <v>455</v>
      </c>
      <c r="D9" s="30">
        <v>200000</v>
      </c>
      <c r="E9" s="41"/>
      <c r="F9" s="41"/>
    </row>
    <row r="10" spans="1:6" ht="15.75" customHeight="1">
      <c r="A10" s="104" t="s">
        <v>46</v>
      </c>
      <c r="B10" s="29" t="s">
        <v>460</v>
      </c>
      <c r="C10" s="29" t="s">
        <v>455</v>
      </c>
      <c r="D10" s="30">
        <v>800000</v>
      </c>
      <c r="E10" s="41"/>
      <c r="F10" s="41"/>
    </row>
    <row r="11" spans="1:6" ht="15.75" customHeight="1">
      <c r="A11" s="104" t="s">
        <v>47</v>
      </c>
      <c r="B11" s="29" t="s">
        <v>461</v>
      </c>
      <c r="C11" s="363" t="s">
        <v>455</v>
      </c>
      <c r="D11" s="30">
        <v>150000</v>
      </c>
      <c r="E11" s="41"/>
      <c r="F11" s="41"/>
    </row>
    <row r="12" spans="1:6" ht="15.75" customHeight="1">
      <c r="A12" s="104" t="s">
        <v>48</v>
      </c>
      <c r="B12" s="29" t="s">
        <v>462</v>
      </c>
      <c r="C12" s="363" t="s">
        <v>455</v>
      </c>
      <c r="D12" s="30">
        <v>50000</v>
      </c>
      <c r="E12" s="41"/>
      <c r="F12" s="41"/>
    </row>
    <row r="13" spans="1:6" ht="15.75" customHeight="1">
      <c r="A13" s="104" t="s">
        <v>49</v>
      </c>
      <c r="B13" s="29" t="s">
        <v>509</v>
      </c>
      <c r="C13" s="29" t="s">
        <v>463</v>
      </c>
      <c r="D13" s="30">
        <v>42072000</v>
      </c>
      <c r="E13" s="41"/>
      <c r="F13" s="41"/>
    </row>
    <row r="14" spans="1:6" ht="15.75" customHeight="1">
      <c r="A14" s="104" t="s">
        <v>50</v>
      </c>
      <c r="B14" s="29" t="s">
        <v>509</v>
      </c>
      <c r="C14" s="29" t="s">
        <v>455</v>
      </c>
      <c r="D14" s="30">
        <v>7562000</v>
      </c>
      <c r="E14" s="41"/>
      <c r="F14" s="41"/>
    </row>
    <row r="15" spans="1:6" ht="15.75" customHeight="1">
      <c r="A15" s="104" t="s">
        <v>51</v>
      </c>
      <c r="B15" s="29" t="s">
        <v>464</v>
      </c>
      <c r="C15" s="29" t="s">
        <v>455</v>
      </c>
      <c r="D15" s="30">
        <v>16678000</v>
      </c>
      <c r="E15" s="41"/>
      <c r="F15" s="480"/>
    </row>
    <row r="16" spans="1:6" ht="15.75" customHeight="1">
      <c r="A16" s="104" t="s">
        <v>52</v>
      </c>
      <c r="B16" s="29" t="s">
        <v>465</v>
      </c>
      <c r="C16" s="29" t="s">
        <v>455</v>
      </c>
      <c r="D16" s="30">
        <v>536000</v>
      </c>
      <c r="E16" s="41"/>
      <c r="F16" s="41"/>
    </row>
    <row r="17" spans="1:4" ht="15.75" customHeight="1">
      <c r="A17" s="104" t="s">
        <v>53</v>
      </c>
      <c r="B17" s="29" t="s">
        <v>688</v>
      </c>
      <c r="C17" s="29" t="s">
        <v>455</v>
      </c>
      <c r="D17" s="30">
        <v>189000</v>
      </c>
    </row>
    <row r="18" spans="1:4" ht="15.75" customHeight="1">
      <c r="A18" s="104" t="s">
        <v>54</v>
      </c>
      <c r="B18" s="29" t="s">
        <v>6</v>
      </c>
      <c r="C18" s="29" t="s">
        <v>455</v>
      </c>
      <c r="D18" s="57">
        <v>3500000</v>
      </c>
    </row>
    <row r="19" spans="1:4" ht="15.75" customHeight="1">
      <c r="A19" s="104" t="s">
        <v>55</v>
      </c>
      <c r="B19" s="29" t="s">
        <v>7</v>
      </c>
      <c r="C19" s="29" t="s">
        <v>463</v>
      </c>
      <c r="D19" s="57">
        <v>2400000</v>
      </c>
    </row>
    <row r="20" spans="1:4" ht="15.75" customHeight="1">
      <c r="A20" s="104" t="s">
        <v>56</v>
      </c>
      <c r="B20" s="519"/>
      <c r="C20" s="29"/>
      <c r="D20" s="57"/>
    </row>
    <row r="21" spans="1:4" ht="15.75" customHeight="1">
      <c r="A21" s="104" t="s">
        <v>57</v>
      </c>
      <c r="B21" s="519"/>
      <c r="C21" s="29"/>
      <c r="D21" s="57"/>
    </row>
    <row r="22" spans="1:4" ht="15.75" customHeight="1">
      <c r="A22" s="104" t="s">
        <v>58</v>
      </c>
      <c r="B22" s="519"/>
      <c r="C22" s="29"/>
      <c r="D22" s="57"/>
    </row>
    <row r="23" spans="1:4" ht="15.75" customHeight="1">
      <c r="A23" s="104" t="s">
        <v>59</v>
      </c>
      <c r="B23" s="519"/>
      <c r="C23" s="29"/>
      <c r="D23" s="57"/>
    </row>
    <row r="24" spans="1:4" ht="15.75" customHeight="1">
      <c r="A24" s="104" t="s">
        <v>60</v>
      </c>
      <c r="B24" s="519"/>
      <c r="C24" s="29"/>
      <c r="D24" s="57"/>
    </row>
    <row r="25" spans="1:4" ht="15.75" customHeight="1">
      <c r="A25" s="104" t="s">
        <v>61</v>
      </c>
      <c r="B25" s="519"/>
      <c r="C25" s="29"/>
      <c r="D25" s="57"/>
    </row>
    <row r="26" spans="1:4" ht="15.75" customHeight="1">
      <c r="A26" s="104" t="s">
        <v>62</v>
      </c>
      <c r="B26" s="519"/>
      <c r="C26" s="29"/>
      <c r="D26" s="57"/>
    </row>
    <row r="27" spans="1:4" ht="15.75" customHeight="1">
      <c r="A27" s="104" t="s">
        <v>63</v>
      </c>
      <c r="B27" s="519"/>
      <c r="C27" s="29"/>
      <c r="D27" s="57"/>
    </row>
    <row r="28" spans="1:4" ht="15.75" customHeight="1">
      <c r="A28" s="104" t="s">
        <v>64</v>
      </c>
      <c r="B28" s="519"/>
      <c r="C28" s="29"/>
      <c r="D28" s="57"/>
    </row>
    <row r="29" spans="1:4" ht="15.75" customHeight="1">
      <c r="A29" s="104" t="s">
        <v>65</v>
      </c>
      <c r="B29" s="519"/>
      <c r="C29" s="29"/>
      <c r="D29" s="57"/>
    </row>
    <row r="30" spans="1:4" ht="15.75" customHeight="1">
      <c r="A30" s="104" t="s">
        <v>66</v>
      </c>
      <c r="B30" s="519"/>
      <c r="C30" s="29"/>
      <c r="D30" s="57"/>
    </row>
    <row r="31" spans="1:4" ht="15.75" customHeight="1">
      <c r="A31" s="104" t="s">
        <v>67</v>
      </c>
      <c r="B31" s="519"/>
      <c r="C31" s="29"/>
      <c r="D31" s="57"/>
    </row>
    <row r="32" spans="1:4" ht="15.75" customHeight="1">
      <c r="A32" s="104" t="s">
        <v>68</v>
      </c>
      <c r="B32" s="519"/>
      <c r="C32" s="29"/>
      <c r="D32" s="57"/>
    </row>
    <row r="33" spans="1:4" ht="15.75" customHeight="1">
      <c r="A33" s="104" t="s">
        <v>69</v>
      </c>
      <c r="B33" s="519"/>
      <c r="C33" s="29"/>
      <c r="D33" s="57"/>
    </row>
    <row r="34" spans="1:4" ht="15.75" customHeight="1">
      <c r="A34" s="104" t="s">
        <v>141</v>
      </c>
      <c r="B34" s="519"/>
      <c r="C34" s="29"/>
      <c r="D34" s="57"/>
    </row>
    <row r="35" spans="1:4" ht="15.75" customHeight="1">
      <c r="A35" s="104" t="s">
        <v>142</v>
      </c>
      <c r="B35" s="29"/>
      <c r="C35" s="29"/>
      <c r="D35" s="57"/>
    </row>
    <row r="36" spans="1:4" ht="15.75" customHeight="1">
      <c r="A36" s="104" t="s">
        <v>143</v>
      </c>
      <c r="B36" s="29"/>
      <c r="C36" s="29"/>
      <c r="D36" s="57"/>
    </row>
    <row r="37" spans="1:4" ht="15.75" customHeight="1" thickBot="1">
      <c r="A37" s="105" t="s">
        <v>144</v>
      </c>
      <c r="B37" s="31"/>
      <c r="C37" s="31"/>
      <c r="D37" s="58"/>
    </row>
    <row r="38" spans="1:4" ht="15.75" customHeight="1" thickBot="1">
      <c r="A38" s="770" t="s">
        <v>75</v>
      </c>
      <c r="B38" s="771"/>
      <c r="C38" s="106"/>
      <c r="D38" s="107">
        <f>SUM(D5:D37)</f>
        <v>85137000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32. melléklet a 11/2017.(III.30.) önkormányzati rendelethez
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tabSelected="1" workbookViewId="0" topLeftCell="A1">
      <pane xSplit="1" ySplit="8" topLeftCell="D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3" sqref="M33"/>
    </sheetView>
  </sheetViews>
  <sheetFormatPr defaultColWidth="10.625" defaultRowHeight="12.75"/>
  <cols>
    <col min="1" max="1" width="42.375" style="367" customWidth="1"/>
    <col min="2" max="2" width="12.625" style="368" bestFit="1" customWidth="1"/>
    <col min="3" max="3" width="10.125" style="368" bestFit="1" customWidth="1"/>
    <col min="4" max="4" width="11.125" style="368" bestFit="1" customWidth="1"/>
    <col min="5" max="5" width="11.375" style="368" bestFit="1" customWidth="1"/>
    <col min="6" max="6" width="11.125" style="368" bestFit="1" customWidth="1"/>
    <col min="7" max="7" width="12.625" style="369" bestFit="1" customWidth="1"/>
    <col min="8" max="8" width="1.12109375" style="369" customWidth="1"/>
    <col min="9" max="10" width="11.125" style="367" bestFit="1" customWidth="1"/>
    <col min="11" max="11" width="12.625" style="367" bestFit="1" customWidth="1"/>
    <col min="12" max="13" width="11.125" style="367" bestFit="1" customWidth="1"/>
    <col min="14" max="14" width="15.125" style="370" bestFit="1" customWidth="1"/>
    <col min="15" max="16384" width="10.625" style="367" customWidth="1"/>
  </cols>
  <sheetData>
    <row r="1" spans="10:13" ht="12.75">
      <c r="J1" s="774"/>
      <c r="K1" s="774"/>
      <c r="L1" s="774"/>
      <c r="M1" s="774"/>
    </row>
    <row r="2" spans="1:14" ht="12.75">
      <c r="A2" s="371"/>
      <c r="E2" s="494"/>
      <c r="I2" s="371"/>
      <c r="J2" s="773"/>
      <c r="K2" s="773"/>
      <c r="L2" s="773"/>
      <c r="M2" s="773"/>
      <c r="N2" s="372"/>
    </row>
    <row r="3" spans="1:14" ht="17.25" customHeight="1">
      <c r="A3" s="373" t="s">
        <v>663</v>
      </c>
      <c r="B3" s="374"/>
      <c r="C3" s="374"/>
      <c r="D3" s="374"/>
      <c r="E3" s="374"/>
      <c r="F3" s="374"/>
      <c r="G3" s="375"/>
      <c r="H3" s="375"/>
      <c r="I3" s="376"/>
      <c r="J3" s="376"/>
      <c r="K3" s="376"/>
      <c r="L3" s="376"/>
      <c r="M3" s="376"/>
      <c r="N3" s="377"/>
    </row>
    <row r="4" spans="1:14" ht="19.5">
      <c r="A4" s="378" t="s">
        <v>468</v>
      </c>
      <c r="B4" s="374"/>
      <c r="C4" s="374"/>
      <c r="D4" s="374"/>
      <c r="E4" s="374"/>
      <c r="F4" s="374"/>
      <c r="G4" s="375"/>
      <c r="H4" s="375"/>
      <c r="I4" s="376"/>
      <c r="J4" s="376"/>
      <c r="K4" s="376"/>
      <c r="L4" s="376"/>
      <c r="M4" s="376"/>
      <c r="N4" s="377"/>
    </row>
    <row r="5" spans="1:14" ht="0.75" customHeight="1" thickBot="1">
      <c r="A5" s="379"/>
      <c r="B5" s="374"/>
      <c r="C5" s="374"/>
      <c r="D5" s="374"/>
      <c r="E5" s="374"/>
      <c r="F5" s="374"/>
      <c r="G5" s="375"/>
      <c r="H5" s="375"/>
      <c r="I5" s="376"/>
      <c r="J5" s="376"/>
      <c r="K5" s="376"/>
      <c r="L5" s="376"/>
      <c r="M5" s="376"/>
      <c r="N5" s="372" t="s">
        <v>399</v>
      </c>
    </row>
    <row r="6" spans="1:14" ht="15.75">
      <c r="A6" s="380" t="s">
        <v>184</v>
      </c>
      <c r="B6" s="775" t="s">
        <v>469</v>
      </c>
      <c r="C6" s="776"/>
      <c r="D6" s="776"/>
      <c r="E6" s="776"/>
      <c r="F6" s="776"/>
      <c r="G6" s="777"/>
      <c r="H6" s="381"/>
      <c r="I6" s="775" t="s">
        <v>470</v>
      </c>
      <c r="J6" s="776"/>
      <c r="K6" s="776"/>
      <c r="L6" s="776"/>
      <c r="M6" s="776"/>
      <c r="N6" s="777"/>
    </row>
    <row r="7" spans="1:14" ht="12.75">
      <c r="A7" s="382"/>
      <c r="B7" s="383" t="s">
        <v>471</v>
      </c>
      <c r="C7" s="384" t="s">
        <v>424</v>
      </c>
      <c r="D7" s="384" t="s">
        <v>495</v>
      </c>
      <c r="E7" s="384" t="s">
        <v>472</v>
      </c>
      <c r="F7" s="384" t="s">
        <v>625</v>
      </c>
      <c r="G7" s="385" t="s">
        <v>665</v>
      </c>
      <c r="H7" s="386"/>
      <c r="I7" s="383" t="s">
        <v>471</v>
      </c>
      <c r="J7" s="384" t="s">
        <v>424</v>
      </c>
      <c r="K7" s="384" t="s">
        <v>504</v>
      </c>
      <c r="L7" s="384" t="s">
        <v>145</v>
      </c>
      <c r="M7" s="384" t="s">
        <v>496</v>
      </c>
      <c r="N7" s="385" t="s">
        <v>666</v>
      </c>
    </row>
    <row r="8" spans="1:14" ht="13.5" thickBot="1">
      <c r="A8" s="387"/>
      <c r="B8" s="388" t="s">
        <v>473</v>
      </c>
      <c r="C8" s="389" t="s">
        <v>473</v>
      </c>
      <c r="D8" s="389" t="s">
        <v>473</v>
      </c>
      <c r="E8" s="389" t="s">
        <v>474</v>
      </c>
      <c r="F8" s="389"/>
      <c r="G8" s="390" t="s">
        <v>475</v>
      </c>
      <c r="H8" s="391"/>
      <c r="I8" s="388" t="s">
        <v>476</v>
      </c>
      <c r="J8" s="389" t="s">
        <v>430</v>
      </c>
      <c r="K8" s="389" t="s">
        <v>426</v>
      </c>
      <c r="L8" s="389"/>
      <c r="M8" s="389"/>
      <c r="N8" s="390" t="s">
        <v>477</v>
      </c>
    </row>
    <row r="9" spans="1:194" ht="12.75">
      <c r="A9" s="604" t="s">
        <v>497</v>
      </c>
      <c r="B9" s="599">
        <v>4075000</v>
      </c>
      <c r="C9" s="394"/>
      <c r="D9" s="393"/>
      <c r="E9" s="392"/>
      <c r="F9" s="394"/>
      <c r="G9" s="395">
        <f>SUM(B9:F9)</f>
        <v>4075000</v>
      </c>
      <c r="H9" s="396"/>
      <c r="I9" s="503"/>
      <c r="J9" s="394"/>
      <c r="K9" s="397"/>
      <c r="L9" s="394"/>
      <c r="M9" s="394"/>
      <c r="N9" s="395">
        <f aca="true" t="shared" si="0" ref="N9:N16">SUM(I9:M9)</f>
        <v>0</v>
      </c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</row>
    <row r="10" spans="1:14" ht="12.75">
      <c r="A10" s="452" t="s">
        <v>610</v>
      </c>
      <c r="B10" s="600"/>
      <c r="C10" s="405"/>
      <c r="D10" s="399"/>
      <c r="E10" s="399"/>
      <c r="F10" s="399"/>
      <c r="G10" s="400">
        <f>SUM(B10:F10)</f>
        <v>0</v>
      </c>
      <c r="H10" s="401"/>
      <c r="I10" s="402">
        <v>12011000</v>
      </c>
      <c r="J10" s="405"/>
      <c r="K10" s="405"/>
      <c r="L10" s="405"/>
      <c r="M10" s="405"/>
      <c r="N10" s="400">
        <f t="shared" si="0"/>
        <v>12011000</v>
      </c>
    </row>
    <row r="11" spans="1:14" ht="12.75">
      <c r="A11" s="605" t="s">
        <v>633</v>
      </c>
      <c r="B11" s="600"/>
      <c r="C11" s="405"/>
      <c r="D11" s="399"/>
      <c r="E11" s="399"/>
      <c r="F11" s="399"/>
      <c r="G11" s="400">
        <f>SUM(B11:F11)</f>
        <v>0</v>
      </c>
      <c r="H11" s="401"/>
      <c r="I11" s="402"/>
      <c r="J11" s="405"/>
      <c r="K11" s="405"/>
      <c r="L11" s="405"/>
      <c r="M11" s="405"/>
      <c r="N11" s="400">
        <f t="shared" si="0"/>
        <v>0</v>
      </c>
    </row>
    <row r="12" spans="1:14" ht="12.75">
      <c r="A12" s="605" t="s">
        <v>634</v>
      </c>
      <c r="B12" s="600"/>
      <c r="C12" s="405"/>
      <c r="D12" s="399"/>
      <c r="E12" s="399"/>
      <c r="F12" s="399"/>
      <c r="G12" s="400"/>
      <c r="H12" s="424"/>
      <c r="I12" s="402"/>
      <c r="J12" s="405">
        <v>6621000</v>
      </c>
      <c r="K12" s="405"/>
      <c r="L12" s="405"/>
      <c r="M12" s="405"/>
      <c r="N12" s="400">
        <f t="shared" si="0"/>
        <v>6621000</v>
      </c>
    </row>
    <row r="13" spans="1:14" ht="12.75">
      <c r="A13" s="605" t="s">
        <v>498</v>
      </c>
      <c r="B13" s="600"/>
      <c r="C13" s="517"/>
      <c r="D13" s="405"/>
      <c r="E13" s="404"/>
      <c r="F13" s="404"/>
      <c r="G13" s="400">
        <f aca="true" t="shared" si="1" ref="G13:G19">SUM(B13:F13)</f>
        <v>0</v>
      </c>
      <c r="H13" s="444" t="e">
        <f>SUM(#REF!)</f>
        <v>#REF!</v>
      </c>
      <c r="I13" s="402"/>
      <c r="J13" s="405"/>
      <c r="K13" s="405"/>
      <c r="L13" s="405"/>
      <c r="M13" s="405"/>
      <c r="N13" s="400">
        <f t="shared" si="0"/>
        <v>0</v>
      </c>
    </row>
    <row r="14" spans="1:14" ht="12.75">
      <c r="A14" s="606" t="s">
        <v>611</v>
      </c>
      <c r="B14" s="600">
        <v>7285000</v>
      </c>
      <c r="C14" s="411"/>
      <c r="D14" s="405"/>
      <c r="E14" s="406"/>
      <c r="F14" s="407"/>
      <c r="G14" s="408">
        <f t="shared" si="1"/>
        <v>7285000</v>
      </c>
      <c r="H14" s="401"/>
      <c r="I14" s="402">
        <v>4801000</v>
      </c>
      <c r="J14" s="405"/>
      <c r="K14" s="411"/>
      <c r="L14" s="411"/>
      <c r="M14" s="411"/>
      <c r="N14" s="408">
        <f t="shared" si="0"/>
        <v>4801000</v>
      </c>
    </row>
    <row r="15" spans="1:14" ht="12.75">
      <c r="A15" s="452" t="s">
        <v>478</v>
      </c>
      <c r="B15" s="600"/>
      <c r="C15" s="405"/>
      <c r="D15" s="405"/>
      <c r="E15" s="399"/>
      <c r="F15" s="409"/>
      <c r="G15" s="400">
        <f t="shared" si="1"/>
        <v>0</v>
      </c>
      <c r="H15" s="401"/>
      <c r="I15" s="402">
        <v>8715000</v>
      </c>
      <c r="J15" s="405">
        <v>529000</v>
      </c>
      <c r="K15" s="405"/>
      <c r="L15" s="405"/>
      <c r="M15" s="405"/>
      <c r="N15" s="400">
        <f t="shared" si="0"/>
        <v>9244000</v>
      </c>
    </row>
    <row r="16" spans="1:14" ht="12.75">
      <c r="A16" s="452" t="s">
        <v>479</v>
      </c>
      <c r="B16" s="600">
        <v>100000</v>
      </c>
      <c r="C16" s="405"/>
      <c r="D16" s="405"/>
      <c r="E16" s="399"/>
      <c r="F16" s="399"/>
      <c r="G16" s="400">
        <f t="shared" si="1"/>
        <v>100000</v>
      </c>
      <c r="H16" s="401"/>
      <c r="I16" s="402">
        <v>1817000</v>
      </c>
      <c r="J16" s="405">
        <v>1513000</v>
      </c>
      <c r="K16" s="405"/>
      <c r="L16" s="405"/>
      <c r="M16" s="405"/>
      <c r="N16" s="400">
        <f t="shared" si="0"/>
        <v>3330000</v>
      </c>
    </row>
    <row r="17" spans="1:14" ht="12.75">
      <c r="A17" s="452" t="s">
        <v>480</v>
      </c>
      <c r="B17" s="600"/>
      <c r="C17" s="405"/>
      <c r="D17" s="405"/>
      <c r="E17" s="399"/>
      <c r="F17" s="399"/>
      <c r="G17" s="400">
        <f t="shared" si="1"/>
        <v>0</v>
      </c>
      <c r="H17" s="401"/>
      <c r="I17" s="402"/>
      <c r="J17" s="405"/>
      <c r="K17" s="405"/>
      <c r="L17" s="405"/>
      <c r="M17" s="405"/>
      <c r="N17" s="400">
        <f aca="true" t="shared" si="2" ref="N17:N50">SUM(I17:M17)</f>
        <v>0</v>
      </c>
    </row>
    <row r="18" spans="1:14" ht="12.75">
      <c r="A18" s="452" t="s">
        <v>481</v>
      </c>
      <c r="B18" s="601"/>
      <c r="C18" s="411"/>
      <c r="D18" s="411"/>
      <c r="E18" s="406"/>
      <c r="F18" s="406"/>
      <c r="G18" s="408">
        <f t="shared" si="1"/>
        <v>0</v>
      </c>
      <c r="H18" s="410"/>
      <c r="I18" s="402">
        <v>31466000</v>
      </c>
      <c r="J18" s="405"/>
      <c r="K18" s="411"/>
      <c r="L18" s="411"/>
      <c r="M18" s="411"/>
      <c r="N18" s="408">
        <f t="shared" si="2"/>
        <v>31466000</v>
      </c>
    </row>
    <row r="19" spans="1:14" ht="12.75">
      <c r="A19" s="607" t="s">
        <v>482</v>
      </c>
      <c r="B19" s="601"/>
      <c r="C19" s="411"/>
      <c r="D19" s="411"/>
      <c r="E19" s="406"/>
      <c r="F19" s="406"/>
      <c r="G19" s="408">
        <f t="shared" si="1"/>
        <v>0</v>
      </c>
      <c r="H19" s="410"/>
      <c r="I19" s="402">
        <v>300000</v>
      </c>
      <c r="J19" s="411"/>
      <c r="K19" s="411"/>
      <c r="L19" s="411"/>
      <c r="M19" s="411"/>
      <c r="N19" s="408">
        <f t="shared" si="2"/>
        <v>300000</v>
      </c>
    </row>
    <row r="20" spans="1:14" ht="12.75">
      <c r="A20" s="608" t="s">
        <v>483</v>
      </c>
      <c r="B20" s="600">
        <f>SUM(B21:B23)</f>
        <v>0</v>
      </c>
      <c r="C20" s="405">
        <f>SUM(C21:C23)</f>
        <v>0</v>
      </c>
      <c r="D20" s="405">
        <f>SUM(D21:D23)</f>
        <v>319390000</v>
      </c>
      <c r="E20" s="412"/>
      <c r="F20" s="404"/>
      <c r="G20" s="408">
        <f>SUM(G21:G23)</f>
        <v>319390000</v>
      </c>
      <c r="H20" s="410"/>
      <c r="I20" s="416"/>
      <c r="J20" s="411"/>
      <c r="K20" s="411">
        <f>SUM(K21:K23)</f>
        <v>0</v>
      </c>
      <c r="L20" s="411"/>
      <c r="M20" s="411"/>
      <c r="N20" s="408">
        <f t="shared" si="2"/>
        <v>0</v>
      </c>
    </row>
    <row r="21" spans="1:14" ht="12.75">
      <c r="A21" s="609" t="s">
        <v>499</v>
      </c>
      <c r="B21" s="600"/>
      <c r="C21" s="411"/>
      <c r="D21" s="600">
        <f>282890000+3500000</f>
        <v>286390000</v>
      </c>
      <c r="E21" s="411"/>
      <c r="F21" s="406"/>
      <c r="G21" s="413">
        <f aca="true" t="shared" si="3" ref="G21:G27">SUM(B21:F21)</f>
        <v>286390000</v>
      </c>
      <c r="H21" s="410"/>
      <c r="I21" s="416"/>
      <c r="J21" s="411"/>
      <c r="K21" s="411"/>
      <c r="L21" s="411"/>
      <c r="M21" s="411"/>
      <c r="N21" s="413">
        <f t="shared" si="2"/>
        <v>0</v>
      </c>
    </row>
    <row r="22" spans="1:14" ht="12.75">
      <c r="A22" s="609" t="s">
        <v>484</v>
      </c>
      <c r="B22" s="600"/>
      <c r="C22" s="411"/>
      <c r="D22" s="600">
        <v>27000000</v>
      </c>
      <c r="E22" s="411"/>
      <c r="F22" s="406"/>
      <c r="G22" s="413">
        <f t="shared" si="3"/>
        <v>27000000</v>
      </c>
      <c r="H22" s="410"/>
      <c r="I22" s="416"/>
      <c r="J22" s="411"/>
      <c r="K22" s="411"/>
      <c r="L22" s="411"/>
      <c r="M22" s="411"/>
      <c r="N22" s="413">
        <f t="shared" si="2"/>
        <v>0</v>
      </c>
    </row>
    <row r="23" spans="1:14" ht="12.75">
      <c r="A23" s="609" t="s">
        <v>612</v>
      </c>
      <c r="B23" s="600"/>
      <c r="C23" s="411"/>
      <c r="D23" s="600">
        <v>6000000</v>
      </c>
      <c r="E23" s="411"/>
      <c r="F23" s="406"/>
      <c r="G23" s="413">
        <f t="shared" si="3"/>
        <v>6000000</v>
      </c>
      <c r="H23" s="410"/>
      <c r="I23" s="416"/>
      <c r="J23" s="411"/>
      <c r="K23" s="411"/>
      <c r="L23" s="411"/>
      <c r="M23" s="411"/>
      <c r="N23" s="413">
        <f t="shared" si="2"/>
        <v>0</v>
      </c>
    </row>
    <row r="24" spans="1:14" ht="12.75">
      <c r="A24" s="610" t="s">
        <v>622</v>
      </c>
      <c r="B24" s="601"/>
      <c r="C24" s="411"/>
      <c r="D24" s="411"/>
      <c r="E24" s="411"/>
      <c r="F24" s="406"/>
      <c r="G24" s="413">
        <f t="shared" si="3"/>
        <v>0</v>
      </c>
      <c r="H24" s="410"/>
      <c r="I24" s="402"/>
      <c r="J24" s="405"/>
      <c r="K24" s="411"/>
      <c r="L24" s="411"/>
      <c r="M24" s="411"/>
      <c r="N24" s="413">
        <f t="shared" si="2"/>
        <v>0</v>
      </c>
    </row>
    <row r="25" spans="1:14" ht="12.75">
      <c r="A25" s="452" t="s">
        <v>511</v>
      </c>
      <c r="B25" s="601"/>
      <c r="C25" s="411"/>
      <c r="D25" s="411"/>
      <c r="E25" s="406"/>
      <c r="F25" s="406"/>
      <c r="G25" s="408">
        <f t="shared" si="3"/>
        <v>0</v>
      </c>
      <c r="H25" s="410"/>
      <c r="I25" s="402">
        <v>835000</v>
      </c>
      <c r="J25" s="411"/>
      <c r="K25" s="411"/>
      <c r="L25" s="411"/>
      <c r="M25" s="411"/>
      <c r="N25" s="408">
        <f t="shared" si="2"/>
        <v>835000</v>
      </c>
    </row>
    <row r="26" spans="1:14" ht="12.75">
      <c r="A26" s="452" t="s">
        <v>485</v>
      </c>
      <c r="B26" s="601"/>
      <c r="C26" s="411"/>
      <c r="D26" s="411"/>
      <c r="E26" s="406"/>
      <c r="F26" s="406"/>
      <c r="G26" s="408">
        <f t="shared" si="3"/>
        <v>0</v>
      </c>
      <c r="H26" s="410"/>
      <c r="I26" s="402">
        <v>34925000</v>
      </c>
      <c r="J26" s="411">
        <v>2237000</v>
      </c>
      <c r="K26" s="411"/>
      <c r="L26" s="411"/>
      <c r="M26" s="411"/>
      <c r="N26" s="408">
        <f t="shared" si="2"/>
        <v>37162000</v>
      </c>
    </row>
    <row r="27" spans="1:14" ht="13.5" customHeight="1">
      <c r="A27" s="611" t="s">
        <v>486</v>
      </c>
      <c r="B27" s="602">
        <f>210000+1060845+383000+8458000+378000</f>
        <v>10489845</v>
      </c>
      <c r="C27" s="419"/>
      <c r="D27" s="442"/>
      <c r="E27" s="441"/>
      <c r="F27" s="419"/>
      <c r="G27" s="420">
        <f t="shared" si="3"/>
        <v>10489845</v>
      </c>
      <c r="H27" s="410"/>
      <c r="I27" s="418">
        <f>40773000+6010000+1233000+3429000+16678000+589000+117000+315000+86000+812000+3500000+1982000</f>
        <v>75524000</v>
      </c>
      <c r="J27" s="419">
        <f>6604000+2400000</f>
        <v>9004000</v>
      </c>
      <c r="K27" s="419"/>
      <c r="L27" s="442"/>
      <c r="M27" s="442"/>
      <c r="N27" s="420">
        <f t="shared" si="2"/>
        <v>84528000</v>
      </c>
    </row>
    <row r="28" spans="1:14" ht="12.75">
      <c r="A28" s="608" t="s">
        <v>500</v>
      </c>
      <c r="B28" s="600">
        <f>SUM(B29:B30)</f>
        <v>1309657208</v>
      </c>
      <c r="C28" s="405">
        <f>SUM(C29:C30)</f>
        <v>0</v>
      </c>
      <c r="D28" s="405">
        <f>SUM(D29:D30)</f>
        <v>0</v>
      </c>
      <c r="E28" s="404"/>
      <c r="F28" s="404"/>
      <c r="G28" s="408">
        <f>SUM(G29:G30)</f>
        <v>1309657208</v>
      </c>
      <c r="H28" s="443"/>
      <c r="I28" s="416">
        <f>SUM(I29:I30)</f>
        <v>35166432</v>
      </c>
      <c r="J28" s="416">
        <f>SUM(J29:J30)</f>
        <v>0</v>
      </c>
      <c r="K28" s="416">
        <f>SUM(K29:K30)</f>
        <v>0</v>
      </c>
      <c r="L28" s="416">
        <f>SUM(L29:L30)</f>
        <v>0</v>
      </c>
      <c r="M28" s="416">
        <f>SUM(M29:M30)</f>
        <v>0</v>
      </c>
      <c r="N28" s="408">
        <f t="shared" si="2"/>
        <v>35166432</v>
      </c>
    </row>
    <row r="29" spans="1:14" ht="12.75">
      <c r="A29" s="609" t="s">
        <v>501</v>
      </c>
      <c r="B29" s="600">
        <f>996138958+24250000-24250000+413944+9514709</f>
        <v>1006067611</v>
      </c>
      <c r="C29" s="405"/>
      <c r="D29" s="411"/>
      <c r="E29" s="411"/>
      <c r="F29" s="411"/>
      <c r="G29" s="413">
        <f aca="true" t="shared" si="4" ref="G29:G50">SUM(B29:F29)</f>
        <v>1006067611</v>
      </c>
      <c r="H29" s="410"/>
      <c r="I29" s="402"/>
      <c r="J29" s="411"/>
      <c r="K29" s="411"/>
      <c r="L29" s="411"/>
      <c r="M29" s="411"/>
      <c r="N29" s="417">
        <f t="shared" si="2"/>
        <v>0</v>
      </c>
    </row>
    <row r="30" spans="1:14" ht="12.75">
      <c r="A30" s="609" t="s">
        <v>502</v>
      </c>
      <c r="B30" s="603">
        <f>110446000+168707597+58000+128000+24250000</f>
        <v>303589597</v>
      </c>
      <c r="C30" s="446"/>
      <c r="D30" s="405"/>
      <c r="E30" s="411"/>
      <c r="F30" s="411"/>
      <c r="G30" s="413">
        <f t="shared" si="4"/>
        <v>303589597</v>
      </c>
      <c r="H30" s="410"/>
      <c r="I30" s="402">
        <f>35164932+1500</f>
        <v>35166432</v>
      </c>
      <c r="J30" s="411"/>
      <c r="K30" s="411"/>
      <c r="L30" s="411"/>
      <c r="M30" s="411"/>
      <c r="N30" s="417">
        <f t="shared" si="2"/>
        <v>35166432</v>
      </c>
    </row>
    <row r="31" spans="1:14" ht="12.75">
      <c r="A31" s="452" t="s">
        <v>487</v>
      </c>
      <c r="B31" s="600">
        <v>30000</v>
      </c>
      <c r="C31" s="405"/>
      <c r="D31" s="405"/>
      <c r="E31" s="405">
        <v>144100000</v>
      </c>
      <c r="F31" s="733">
        <v>289331423</v>
      </c>
      <c r="G31" s="400">
        <f t="shared" si="4"/>
        <v>433461423</v>
      </c>
      <c r="H31" s="401"/>
      <c r="I31" s="402">
        <v>11212000</v>
      </c>
      <c r="J31" s="405"/>
      <c r="K31" s="405">
        <v>1227005827</v>
      </c>
      <c r="L31" s="405">
        <v>103161000</v>
      </c>
      <c r="M31" s="405">
        <f>113567657-1600000</f>
        <v>111967657</v>
      </c>
      <c r="N31" s="408">
        <f t="shared" si="2"/>
        <v>1453346484</v>
      </c>
    </row>
    <row r="32" spans="1:14" ht="12.75">
      <c r="A32" s="452" t="s">
        <v>503</v>
      </c>
      <c r="B32" s="601"/>
      <c r="C32" s="411"/>
      <c r="D32" s="411"/>
      <c r="E32" s="411"/>
      <c r="F32" s="411"/>
      <c r="G32" s="408">
        <f t="shared" si="4"/>
        <v>0</v>
      </c>
      <c r="H32" s="410"/>
      <c r="I32" s="402"/>
      <c r="J32" s="405"/>
      <c r="K32" s="405"/>
      <c r="L32" s="405"/>
      <c r="M32" s="405"/>
      <c r="N32" s="408">
        <f t="shared" si="2"/>
        <v>0</v>
      </c>
    </row>
    <row r="33" spans="1:14" ht="12.75">
      <c r="A33" s="452" t="s">
        <v>488</v>
      </c>
      <c r="B33" s="600"/>
      <c r="C33" s="405"/>
      <c r="D33" s="405"/>
      <c r="E33" s="405"/>
      <c r="F33" s="405"/>
      <c r="G33" s="408">
        <f t="shared" si="4"/>
        <v>0</v>
      </c>
      <c r="H33" s="410"/>
      <c r="I33" s="402">
        <v>590000</v>
      </c>
      <c r="J33" s="405"/>
      <c r="K33" s="405"/>
      <c r="L33" s="405"/>
      <c r="M33" s="405"/>
      <c r="N33" s="408">
        <f t="shared" si="2"/>
        <v>590000</v>
      </c>
    </row>
    <row r="34" spans="1:14" ht="12.75">
      <c r="A34" s="611" t="s">
        <v>489</v>
      </c>
      <c r="B34" s="602"/>
      <c r="C34" s="419"/>
      <c r="D34" s="419"/>
      <c r="E34" s="419"/>
      <c r="F34" s="419"/>
      <c r="G34" s="408">
        <f t="shared" si="4"/>
        <v>0</v>
      </c>
      <c r="H34" s="410"/>
      <c r="I34" s="418">
        <v>3351000</v>
      </c>
      <c r="J34" s="419"/>
      <c r="K34" s="419"/>
      <c r="L34" s="419"/>
      <c r="M34" s="419"/>
      <c r="N34" s="408">
        <f t="shared" si="2"/>
        <v>3351000</v>
      </c>
    </row>
    <row r="35" spans="1:14" ht="12.75">
      <c r="A35" s="611" t="s">
        <v>691</v>
      </c>
      <c r="B35" s="602"/>
      <c r="C35" s="419"/>
      <c r="D35" s="419"/>
      <c r="E35" s="419"/>
      <c r="F35" s="419"/>
      <c r="G35" s="408">
        <f t="shared" si="4"/>
        <v>0</v>
      </c>
      <c r="H35" s="410"/>
      <c r="I35" s="418"/>
      <c r="J35" s="419"/>
      <c r="K35" s="419"/>
      <c r="L35" s="419"/>
      <c r="M35" s="419"/>
      <c r="N35" s="400">
        <f t="shared" si="2"/>
        <v>0</v>
      </c>
    </row>
    <row r="36" spans="1:14" ht="12.75">
      <c r="A36" s="611" t="s">
        <v>505</v>
      </c>
      <c r="B36" s="602"/>
      <c r="C36" s="419"/>
      <c r="D36" s="419"/>
      <c r="E36" s="419"/>
      <c r="F36" s="419"/>
      <c r="G36" s="408">
        <f t="shared" si="4"/>
        <v>0</v>
      </c>
      <c r="H36" s="410"/>
      <c r="I36" s="418">
        <f>7083000+24000+4600+6200</f>
        <v>7117800</v>
      </c>
      <c r="J36" s="419">
        <v>301000</v>
      </c>
      <c r="K36" s="419"/>
      <c r="L36" s="419"/>
      <c r="M36" s="419"/>
      <c r="N36" s="400">
        <f t="shared" si="2"/>
        <v>7418800</v>
      </c>
    </row>
    <row r="37" spans="1:14" ht="12.75">
      <c r="A37" s="611" t="s">
        <v>506</v>
      </c>
      <c r="B37" s="602">
        <v>947000</v>
      </c>
      <c r="C37" s="419"/>
      <c r="D37" s="419"/>
      <c r="E37" s="419"/>
      <c r="F37" s="419"/>
      <c r="G37" s="408">
        <f t="shared" si="4"/>
        <v>947000</v>
      </c>
      <c r="H37" s="410"/>
      <c r="I37" s="418">
        <v>16980000</v>
      </c>
      <c r="J37" s="419"/>
      <c r="K37" s="419"/>
      <c r="L37" s="419"/>
      <c r="M37" s="419"/>
      <c r="N37" s="400">
        <f t="shared" si="2"/>
        <v>16980000</v>
      </c>
    </row>
    <row r="38" spans="1:14" ht="12.75">
      <c r="A38" s="611" t="s">
        <v>614</v>
      </c>
      <c r="B38" s="602">
        <v>704000</v>
      </c>
      <c r="C38" s="419"/>
      <c r="D38" s="419"/>
      <c r="E38" s="419"/>
      <c r="F38" s="419"/>
      <c r="G38" s="408">
        <f t="shared" si="4"/>
        <v>704000</v>
      </c>
      <c r="H38" s="410"/>
      <c r="I38" s="521">
        <v>70980000</v>
      </c>
      <c r="J38" s="419"/>
      <c r="K38" s="419"/>
      <c r="L38" s="419"/>
      <c r="M38" s="419"/>
      <c r="N38" s="400">
        <f t="shared" si="2"/>
        <v>70980000</v>
      </c>
    </row>
    <row r="39" spans="1:14" ht="12.75">
      <c r="A39" s="611" t="s">
        <v>490</v>
      </c>
      <c r="B39" s="602"/>
      <c r="C39" s="419"/>
      <c r="D39" s="419"/>
      <c r="E39" s="419"/>
      <c r="F39" s="419"/>
      <c r="G39" s="408">
        <f t="shared" si="4"/>
        <v>0</v>
      </c>
      <c r="H39" s="410"/>
      <c r="I39" s="418"/>
      <c r="J39" s="419"/>
      <c r="K39" s="419"/>
      <c r="L39" s="419"/>
      <c r="M39" s="419"/>
      <c r="N39" s="400">
        <f t="shared" si="2"/>
        <v>0</v>
      </c>
    </row>
    <row r="40" spans="1:14" ht="12.75">
      <c r="A40" s="611" t="s">
        <v>747</v>
      </c>
      <c r="B40" s="602"/>
      <c r="C40" s="419"/>
      <c r="D40" s="419"/>
      <c r="E40" s="419"/>
      <c r="F40" s="419"/>
      <c r="G40" s="408">
        <f t="shared" si="4"/>
        <v>0</v>
      </c>
      <c r="H40" s="410"/>
      <c r="I40" s="418">
        <v>1600000</v>
      </c>
      <c r="J40" s="419"/>
      <c r="K40" s="419"/>
      <c r="L40" s="419"/>
      <c r="M40" s="419"/>
      <c r="N40" s="400">
        <f t="shared" si="2"/>
        <v>1600000</v>
      </c>
    </row>
    <row r="41" spans="1:14" ht="12.75">
      <c r="A41" s="611" t="s">
        <v>491</v>
      </c>
      <c r="B41" s="602">
        <v>6350000</v>
      </c>
      <c r="C41" s="419"/>
      <c r="D41" s="419"/>
      <c r="E41" s="419"/>
      <c r="F41" s="419"/>
      <c r="G41" s="408">
        <f t="shared" si="4"/>
        <v>6350000</v>
      </c>
      <c r="H41" s="410"/>
      <c r="I41" s="418">
        <v>1350000</v>
      </c>
      <c r="J41" s="419"/>
      <c r="K41" s="419"/>
      <c r="L41" s="419"/>
      <c r="M41" s="419"/>
      <c r="N41" s="400">
        <f t="shared" si="2"/>
        <v>1350000</v>
      </c>
    </row>
    <row r="42" spans="1:14" ht="12.75">
      <c r="A42" s="452" t="s">
        <v>492</v>
      </c>
      <c r="B42" s="598">
        <v>1566000</v>
      </c>
      <c r="C42" s="419"/>
      <c r="D42" s="419"/>
      <c r="E42" s="419"/>
      <c r="F42" s="419"/>
      <c r="G42" s="408">
        <f t="shared" si="4"/>
        <v>1566000</v>
      </c>
      <c r="H42" s="410"/>
      <c r="I42" s="418">
        <v>20327000</v>
      </c>
      <c r="J42" s="419">
        <v>42072000</v>
      </c>
      <c r="K42" s="448"/>
      <c r="L42" s="419"/>
      <c r="M42" s="419"/>
      <c r="N42" s="400">
        <f t="shared" si="2"/>
        <v>62399000</v>
      </c>
    </row>
    <row r="43" spans="1:14" ht="12.75">
      <c r="A43" s="612" t="s">
        <v>690</v>
      </c>
      <c r="B43" s="598"/>
      <c r="C43" s="419">
        <v>3797300</v>
      </c>
      <c r="D43" s="419"/>
      <c r="E43" s="419"/>
      <c r="F43" s="419"/>
      <c r="G43" s="408">
        <f t="shared" si="4"/>
        <v>3797300</v>
      </c>
      <c r="H43" s="410"/>
      <c r="I43" s="418">
        <v>3666988</v>
      </c>
      <c r="J43" s="419">
        <v>92095700</v>
      </c>
      <c r="K43" s="448"/>
      <c r="L43" s="419"/>
      <c r="M43" s="419"/>
      <c r="N43" s="400">
        <f t="shared" si="2"/>
        <v>95762688</v>
      </c>
    </row>
    <row r="44" spans="1:14" ht="12.75">
      <c r="A44" s="452" t="s">
        <v>493</v>
      </c>
      <c r="B44" s="598">
        <v>16176000</v>
      </c>
      <c r="C44" s="419">
        <v>31032000</v>
      </c>
      <c r="D44" s="419"/>
      <c r="E44" s="419"/>
      <c r="F44" s="419"/>
      <c r="G44" s="408">
        <f t="shared" si="4"/>
        <v>47208000</v>
      </c>
      <c r="H44" s="410"/>
      <c r="I44" s="418">
        <f>17736000+8485000+411000</f>
        <v>26632000</v>
      </c>
      <c r="J44" s="419">
        <v>5906000</v>
      </c>
      <c r="K44" s="419"/>
      <c r="L44" s="419"/>
      <c r="M44" s="419"/>
      <c r="N44" s="400">
        <f t="shared" si="2"/>
        <v>32538000</v>
      </c>
    </row>
    <row r="45" spans="1:14" ht="12.75">
      <c r="A45" s="452" t="s">
        <v>28</v>
      </c>
      <c r="B45" s="602"/>
      <c r="C45" s="419"/>
      <c r="D45" s="419"/>
      <c r="E45" s="419"/>
      <c r="F45" s="419"/>
      <c r="G45" s="408">
        <f t="shared" si="4"/>
        <v>0</v>
      </c>
      <c r="H45" s="410"/>
      <c r="I45" s="418"/>
      <c r="J45" s="419"/>
      <c r="K45" s="419"/>
      <c r="L45" s="419"/>
      <c r="M45" s="419"/>
      <c r="N45" s="400">
        <f t="shared" si="2"/>
        <v>0</v>
      </c>
    </row>
    <row r="46" spans="1:14" ht="12.75">
      <c r="A46" s="612" t="s">
        <v>693</v>
      </c>
      <c r="B46" s="602">
        <f>69942000+9665887+291175856</f>
        <v>370783743</v>
      </c>
      <c r="C46" s="419">
        <f>15179276</f>
        <v>15179276</v>
      </c>
      <c r="D46" s="419"/>
      <c r="E46" s="419"/>
      <c r="F46" s="419"/>
      <c r="G46" s="408">
        <f t="shared" si="4"/>
        <v>385963019</v>
      </c>
      <c r="H46" s="410"/>
      <c r="I46" s="418">
        <f>189014000+58000+8708008+957879+232903371+25618911+28972366+7822538+20000+400000+312000</f>
        <v>494787073</v>
      </c>
      <c r="J46" s="419">
        <f>204000+11952186+3227090</f>
        <v>15383276</v>
      </c>
      <c r="K46" s="419"/>
      <c r="L46" s="419"/>
      <c r="M46" s="419"/>
      <c r="N46" s="400">
        <f t="shared" si="2"/>
        <v>510170349</v>
      </c>
    </row>
    <row r="47" spans="1:14" ht="12.75">
      <c r="A47" s="452" t="s">
        <v>510</v>
      </c>
      <c r="B47" s="602"/>
      <c r="C47" s="419"/>
      <c r="D47" s="419"/>
      <c r="E47" s="419"/>
      <c r="F47" s="419"/>
      <c r="G47" s="408">
        <f t="shared" si="4"/>
        <v>0</v>
      </c>
      <c r="H47" s="410"/>
      <c r="I47" s="418"/>
      <c r="J47" s="419"/>
      <c r="K47" s="419"/>
      <c r="L47" s="419"/>
      <c r="M47" s="419"/>
      <c r="N47" s="400">
        <f t="shared" si="2"/>
        <v>0</v>
      </c>
    </row>
    <row r="48" spans="1:14" ht="12.75">
      <c r="A48" s="611" t="s">
        <v>635</v>
      </c>
      <c r="B48" s="602"/>
      <c r="C48" s="419"/>
      <c r="D48" s="419"/>
      <c r="E48" s="419"/>
      <c r="F48" s="419"/>
      <c r="G48" s="420">
        <f t="shared" si="4"/>
        <v>0</v>
      </c>
      <c r="H48" s="410"/>
      <c r="I48" s="418">
        <v>46750042</v>
      </c>
      <c r="J48" s="419"/>
      <c r="K48" s="419"/>
      <c r="L48" s="419"/>
      <c r="M48" s="419"/>
      <c r="N48" s="400">
        <f t="shared" si="2"/>
        <v>46750042</v>
      </c>
    </row>
    <row r="49" spans="1:14" ht="12.75">
      <c r="A49" s="611" t="s">
        <v>613</v>
      </c>
      <c r="B49" s="602">
        <v>204000</v>
      </c>
      <c r="C49" s="419"/>
      <c r="D49" s="419"/>
      <c r="E49" s="419"/>
      <c r="F49" s="419"/>
      <c r="G49" s="420">
        <f t="shared" si="4"/>
        <v>204000</v>
      </c>
      <c r="H49" s="410"/>
      <c r="I49" s="732">
        <f>1256800-50000</f>
        <v>1206800</v>
      </c>
      <c r="J49" s="419">
        <v>90200</v>
      </c>
      <c r="K49" s="419"/>
      <c r="L49" s="419"/>
      <c r="M49" s="419"/>
      <c r="N49" s="421">
        <f t="shared" si="2"/>
        <v>1297000</v>
      </c>
    </row>
    <row r="50" spans="1:14" ht="13.5" thickBot="1">
      <c r="A50" s="452" t="s">
        <v>692</v>
      </c>
      <c r="B50" s="602"/>
      <c r="C50" s="419"/>
      <c r="D50" s="419"/>
      <c r="E50" s="419"/>
      <c r="F50" s="419"/>
      <c r="G50" s="420">
        <f t="shared" si="4"/>
        <v>0</v>
      </c>
      <c r="H50" s="410"/>
      <c r="I50" s="418">
        <v>1200000</v>
      </c>
      <c r="J50" s="419"/>
      <c r="K50" s="419"/>
      <c r="L50" s="419"/>
      <c r="M50" s="419"/>
      <c r="N50" s="421">
        <f t="shared" si="2"/>
        <v>1200000</v>
      </c>
    </row>
    <row r="51" spans="1:14" ht="12.75">
      <c r="A51" s="615" t="s">
        <v>75</v>
      </c>
      <c r="B51" s="613">
        <f>SUM(B9:B13,B14:B20,B25:B28,B31:B50,B24)</f>
        <v>1728367796</v>
      </c>
      <c r="C51" s="422">
        <f>SUM(C9:C13,C14:C20,C25:C28,C31:C50,C24)</f>
        <v>50008576</v>
      </c>
      <c r="D51" s="422">
        <f>SUM(D9:D13,D14:D20,D25:D28,D31:D50,D24)</f>
        <v>319390000</v>
      </c>
      <c r="E51" s="422">
        <f>SUM(E9:E13,E14:E20,E25:E28,E31:E50,E24)</f>
        <v>144100000</v>
      </c>
      <c r="F51" s="422">
        <f>SUM(F9:F13,F14:F20,F25:F28,F31:F50,F24)</f>
        <v>289331423</v>
      </c>
      <c r="G51" s="422">
        <f>SUM(G9:G13,G14:G20,G24:G28,G31:G37,G38:G50,)</f>
        <v>2531197795</v>
      </c>
      <c r="H51" s="422" t="e">
        <f>SUM(H9:H13,H15:H20,H25:H28,H31:H37,H38:H50)</f>
        <v>#REF!</v>
      </c>
      <c r="I51" s="422">
        <f aca="true" t="shared" si="5" ref="I51:N51">SUM(I9:I13,I14:I20,I25:I28,I31:I50,I24)</f>
        <v>913311135</v>
      </c>
      <c r="J51" s="422">
        <f t="shared" si="5"/>
        <v>175752176</v>
      </c>
      <c r="K51" s="422">
        <f t="shared" si="5"/>
        <v>1227005827</v>
      </c>
      <c r="L51" s="422">
        <f t="shared" si="5"/>
        <v>103161000</v>
      </c>
      <c r="M51" s="422">
        <f t="shared" si="5"/>
        <v>111967657</v>
      </c>
      <c r="N51" s="423">
        <f t="shared" si="5"/>
        <v>2531197795</v>
      </c>
    </row>
    <row r="52" spans="1:14" ht="12.75">
      <c r="A52" s="616" t="s">
        <v>494</v>
      </c>
      <c r="B52" s="614"/>
      <c r="C52" s="399"/>
      <c r="D52" s="399"/>
      <c r="E52" s="399"/>
      <c r="F52" s="399"/>
      <c r="G52" s="400"/>
      <c r="H52" s="424"/>
      <c r="I52" s="403"/>
      <c r="J52" s="405"/>
      <c r="K52" s="412">
        <v>1227005827</v>
      </c>
      <c r="L52" s="399"/>
      <c r="M52" s="399"/>
      <c r="N52" s="425">
        <f>SUM(I52:M52)</f>
        <v>1227005827</v>
      </c>
    </row>
    <row r="53" spans="1:14" ht="13.5" thickBot="1">
      <c r="A53" s="426" t="s">
        <v>87</v>
      </c>
      <c r="B53" s="427">
        <f aca="true" t="shared" si="6" ref="B53:N53">B51-B52</f>
        <v>1728367796</v>
      </c>
      <c r="C53" s="428">
        <f t="shared" si="6"/>
        <v>50008576</v>
      </c>
      <c r="D53" s="428">
        <f t="shared" si="6"/>
        <v>319390000</v>
      </c>
      <c r="E53" s="428">
        <f t="shared" si="6"/>
        <v>144100000</v>
      </c>
      <c r="F53" s="428">
        <f t="shared" si="6"/>
        <v>289331423</v>
      </c>
      <c r="G53" s="428">
        <f t="shared" si="6"/>
        <v>2531197795</v>
      </c>
      <c r="H53" s="429" t="e">
        <f t="shared" si="6"/>
        <v>#REF!</v>
      </c>
      <c r="I53" s="427">
        <f t="shared" si="6"/>
        <v>913311135</v>
      </c>
      <c r="J53" s="428">
        <f t="shared" si="6"/>
        <v>175752176</v>
      </c>
      <c r="K53" s="428">
        <f t="shared" si="6"/>
        <v>0</v>
      </c>
      <c r="L53" s="428">
        <f t="shared" si="6"/>
        <v>103161000</v>
      </c>
      <c r="M53" s="428">
        <f t="shared" si="6"/>
        <v>111967657</v>
      </c>
      <c r="N53" s="430">
        <f t="shared" si="6"/>
        <v>1304191968</v>
      </c>
    </row>
    <row r="54" spans="1:14" ht="12.75">
      <c r="A54" s="431"/>
      <c r="B54" s="432"/>
      <c r="C54" s="432"/>
      <c r="D54" s="432"/>
      <c r="E54" s="432"/>
      <c r="F54" s="432"/>
      <c r="G54" s="415"/>
      <c r="H54" s="415"/>
      <c r="I54" s="433"/>
      <c r="J54" s="432"/>
      <c r="K54" s="434"/>
      <c r="L54" s="433"/>
      <c r="M54" s="433"/>
      <c r="N54" s="414"/>
    </row>
    <row r="55" spans="1:14" ht="12.75">
      <c r="A55" s="431"/>
      <c r="B55" s="432"/>
      <c r="C55" s="432"/>
      <c r="D55" s="432"/>
      <c r="E55" s="432"/>
      <c r="F55" s="432"/>
      <c r="G55" s="415"/>
      <c r="H55" s="415"/>
      <c r="I55" s="432"/>
      <c r="J55" s="432"/>
      <c r="K55" s="434"/>
      <c r="L55" s="433"/>
      <c r="M55" s="433"/>
      <c r="N55" s="414"/>
    </row>
    <row r="56" spans="1:14" ht="12.75">
      <c r="A56" s="431"/>
      <c r="B56" s="432"/>
      <c r="C56" s="432"/>
      <c r="D56" s="432"/>
      <c r="E56" s="432"/>
      <c r="F56" s="432"/>
      <c r="G56" s="415"/>
      <c r="H56" s="415"/>
      <c r="I56" s="435"/>
      <c r="J56" s="432"/>
      <c r="K56" s="414"/>
      <c r="L56" s="432"/>
      <c r="M56" s="432"/>
      <c r="N56" s="414"/>
    </row>
    <row r="57" spans="1:14" ht="12.75">
      <c r="A57" s="431"/>
      <c r="B57" s="432"/>
      <c r="C57" s="432"/>
      <c r="D57" s="432"/>
      <c r="E57" s="432"/>
      <c r="F57" s="432"/>
      <c r="G57" s="415"/>
      <c r="H57" s="415"/>
      <c r="I57" s="432"/>
      <c r="J57" s="432"/>
      <c r="K57" s="414"/>
      <c r="L57" s="432"/>
      <c r="M57" s="432"/>
      <c r="N57" s="414"/>
    </row>
    <row r="58" spans="1:14" ht="12.75">
      <c r="A58" s="431"/>
      <c r="B58" s="432"/>
      <c r="C58" s="432"/>
      <c r="D58" s="432"/>
      <c r="E58" s="432"/>
      <c r="F58" s="432"/>
      <c r="G58" s="415"/>
      <c r="H58" s="415"/>
      <c r="I58" s="432"/>
      <c r="J58" s="432"/>
      <c r="K58" s="414"/>
      <c r="L58" s="432"/>
      <c r="M58" s="432"/>
      <c r="N58" s="414"/>
    </row>
    <row r="59" spans="1:14" ht="12.75">
      <c r="A59" s="431"/>
      <c r="B59" s="432"/>
      <c r="C59" s="432"/>
      <c r="D59" s="432"/>
      <c r="E59" s="432"/>
      <c r="F59" s="432"/>
      <c r="G59" s="415"/>
      <c r="H59" s="415"/>
      <c r="I59" s="432"/>
      <c r="J59" s="432"/>
      <c r="K59" s="414"/>
      <c r="L59" s="432"/>
      <c r="M59" s="432"/>
      <c r="N59" s="414"/>
    </row>
    <row r="60" spans="1:14" ht="12.75">
      <c r="A60" s="431"/>
      <c r="B60" s="432"/>
      <c r="C60" s="432"/>
      <c r="D60" s="432"/>
      <c r="E60" s="432"/>
      <c r="F60" s="432"/>
      <c r="G60" s="415"/>
      <c r="H60" s="415"/>
      <c r="I60" s="432"/>
      <c r="J60" s="432"/>
      <c r="K60" s="414"/>
      <c r="L60" s="432"/>
      <c r="M60" s="432"/>
      <c r="N60" s="414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&amp;R33. melléklet a 11/2017.(III.30.)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159"/>
  <sheetViews>
    <sheetView zoomScaleSheetLayoutView="100" workbookViewId="0" topLeftCell="A1">
      <selection activeCell="B32" sqref="B32"/>
    </sheetView>
  </sheetViews>
  <sheetFormatPr defaultColWidth="9.00390625" defaultRowHeight="12.75"/>
  <cols>
    <col min="1" max="1" width="9.50390625" style="225" customWidth="1"/>
    <col min="2" max="2" width="91.625" style="225" customWidth="1"/>
    <col min="3" max="3" width="21.625" style="226" customWidth="1"/>
    <col min="4" max="16384" width="9.375" style="236" customWidth="1"/>
  </cols>
  <sheetData>
    <row r="1" spans="1:3" ht="15.75" customHeight="1">
      <c r="A1" s="735" t="s">
        <v>38</v>
      </c>
      <c r="B1" s="735"/>
      <c r="C1" s="735"/>
    </row>
    <row r="2" spans="1:3" ht="15.75" customHeight="1" thickBot="1">
      <c r="A2" s="734" t="s">
        <v>150</v>
      </c>
      <c r="B2" s="734"/>
      <c r="C2" s="158" t="s">
        <v>667</v>
      </c>
    </row>
    <row r="3" spans="1:3" ht="37.5" customHeight="1" thickBot="1">
      <c r="A3" s="22" t="s">
        <v>92</v>
      </c>
      <c r="B3" s="23" t="s">
        <v>40</v>
      </c>
      <c r="C3" s="36" t="s">
        <v>652</v>
      </c>
    </row>
    <row r="4" spans="1:3" s="237" customFormat="1" ht="12" customHeight="1" thickBot="1">
      <c r="A4" s="231" t="s">
        <v>512</v>
      </c>
      <c r="B4" s="232" t="s">
        <v>513</v>
      </c>
      <c r="C4" s="233" t="s">
        <v>514</v>
      </c>
    </row>
    <row r="5" spans="1:3" s="238" customFormat="1" ht="12" customHeight="1" thickBot="1">
      <c r="A5" s="19" t="s">
        <v>41</v>
      </c>
      <c r="B5" s="20" t="s">
        <v>212</v>
      </c>
      <c r="C5" s="149">
        <f>+C6+C7+C8+C9+C10+C11</f>
        <v>0</v>
      </c>
    </row>
    <row r="6" spans="1:3" s="238" customFormat="1" ht="12" customHeight="1">
      <c r="A6" s="14" t="s">
        <v>117</v>
      </c>
      <c r="B6" s="239" t="s">
        <v>213</v>
      </c>
      <c r="C6" s="151"/>
    </row>
    <row r="7" spans="1:3" s="238" customFormat="1" ht="12" customHeight="1">
      <c r="A7" s="13" t="s">
        <v>118</v>
      </c>
      <c r="B7" s="240" t="s">
        <v>214</v>
      </c>
      <c r="C7" s="150"/>
    </row>
    <row r="8" spans="1:3" s="238" customFormat="1" ht="12" customHeight="1">
      <c r="A8" s="13" t="s">
        <v>119</v>
      </c>
      <c r="B8" s="240" t="s">
        <v>639</v>
      </c>
      <c r="C8" s="150"/>
    </row>
    <row r="9" spans="1:3" s="238" customFormat="1" ht="12" customHeight="1">
      <c r="A9" s="13" t="s">
        <v>120</v>
      </c>
      <c r="B9" s="240" t="s">
        <v>216</v>
      </c>
      <c r="C9" s="150"/>
    </row>
    <row r="10" spans="1:3" s="238" customFormat="1" ht="12" customHeight="1">
      <c r="A10" s="13" t="s">
        <v>147</v>
      </c>
      <c r="B10" s="145" t="s">
        <v>515</v>
      </c>
      <c r="C10" s="150"/>
    </row>
    <row r="11" spans="1:3" s="238" customFormat="1" ht="12" customHeight="1" thickBot="1">
      <c r="A11" s="15" t="s">
        <v>121</v>
      </c>
      <c r="B11" s="146" t="s">
        <v>516</v>
      </c>
      <c r="C11" s="150"/>
    </row>
    <row r="12" spans="1:3" s="238" customFormat="1" ht="12" customHeight="1" thickBot="1">
      <c r="A12" s="19" t="s">
        <v>42</v>
      </c>
      <c r="B12" s="144" t="s">
        <v>217</v>
      </c>
      <c r="C12" s="149">
        <f>+C13+C14+C15+C16+C17</f>
        <v>0</v>
      </c>
    </row>
    <row r="13" spans="1:3" s="238" customFormat="1" ht="12" customHeight="1">
      <c r="A13" s="14" t="s">
        <v>123</v>
      </c>
      <c r="B13" s="239" t="s">
        <v>218</v>
      </c>
      <c r="C13" s="151"/>
    </row>
    <row r="14" spans="1:3" s="238" customFormat="1" ht="12" customHeight="1">
      <c r="A14" s="13" t="s">
        <v>124</v>
      </c>
      <c r="B14" s="240" t="s">
        <v>219</v>
      </c>
      <c r="C14" s="150"/>
    </row>
    <row r="15" spans="1:3" s="238" customFormat="1" ht="12" customHeight="1">
      <c r="A15" s="13" t="s">
        <v>125</v>
      </c>
      <c r="B15" s="240" t="s">
        <v>388</v>
      </c>
      <c r="C15" s="150"/>
    </row>
    <row r="16" spans="1:3" s="238" customFormat="1" ht="12" customHeight="1">
      <c r="A16" s="13" t="s">
        <v>126</v>
      </c>
      <c r="B16" s="240" t="s">
        <v>389</v>
      </c>
      <c r="C16" s="150"/>
    </row>
    <row r="17" spans="1:3" s="238" customFormat="1" ht="12" customHeight="1">
      <c r="A17" s="13" t="s">
        <v>127</v>
      </c>
      <c r="B17" s="240" t="s">
        <v>220</v>
      </c>
      <c r="C17" s="150"/>
    </row>
    <row r="18" spans="1:3" s="238" customFormat="1" ht="12" customHeight="1" thickBot="1">
      <c r="A18" s="15" t="s">
        <v>136</v>
      </c>
      <c r="B18" s="146" t="s">
        <v>221</v>
      </c>
      <c r="C18" s="152"/>
    </row>
    <row r="19" spans="1:3" s="238" customFormat="1" ht="12" customHeight="1" thickBot="1">
      <c r="A19" s="19" t="s">
        <v>43</v>
      </c>
      <c r="B19" s="20" t="s">
        <v>222</v>
      </c>
      <c r="C19" s="149">
        <f>+C20+C21+C22+C23+C24</f>
        <v>0</v>
      </c>
    </row>
    <row r="20" spans="1:3" s="238" customFormat="1" ht="12" customHeight="1">
      <c r="A20" s="14" t="s">
        <v>106</v>
      </c>
      <c r="B20" s="239" t="s">
        <v>223</v>
      </c>
      <c r="C20" s="151"/>
    </row>
    <row r="21" spans="1:3" s="238" customFormat="1" ht="12" customHeight="1">
      <c r="A21" s="13" t="s">
        <v>107</v>
      </c>
      <c r="B21" s="240" t="s">
        <v>224</v>
      </c>
      <c r="C21" s="150"/>
    </row>
    <row r="22" spans="1:3" s="238" customFormat="1" ht="12" customHeight="1">
      <c r="A22" s="13" t="s">
        <v>108</v>
      </c>
      <c r="B22" s="240" t="s">
        <v>390</v>
      </c>
      <c r="C22" s="150"/>
    </row>
    <row r="23" spans="1:3" s="238" customFormat="1" ht="12" customHeight="1">
      <c r="A23" s="13" t="s">
        <v>109</v>
      </c>
      <c r="B23" s="240" t="s">
        <v>391</v>
      </c>
      <c r="C23" s="150"/>
    </row>
    <row r="24" spans="1:3" s="238" customFormat="1" ht="12" customHeight="1">
      <c r="A24" s="13" t="s">
        <v>159</v>
      </c>
      <c r="B24" s="240" t="s">
        <v>225</v>
      </c>
      <c r="C24" s="150"/>
    </row>
    <row r="25" spans="1:3" s="238" customFormat="1" ht="12" customHeight="1" thickBot="1">
      <c r="A25" s="15" t="s">
        <v>160</v>
      </c>
      <c r="B25" s="241" t="s">
        <v>226</v>
      </c>
      <c r="C25" s="152"/>
    </row>
    <row r="26" spans="1:3" s="238" customFormat="1" ht="12" customHeight="1" thickBot="1">
      <c r="A26" s="19" t="s">
        <v>161</v>
      </c>
      <c r="B26" s="20" t="s">
        <v>227</v>
      </c>
      <c r="C26" s="154">
        <f>+C27+C31+C32+C33</f>
        <v>0</v>
      </c>
    </row>
    <row r="27" spans="1:3" s="238" customFormat="1" ht="12" customHeight="1">
      <c r="A27" s="14" t="s">
        <v>228</v>
      </c>
      <c r="B27" s="239" t="s">
        <v>517</v>
      </c>
      <c r="C27" s="234">
        <f>+C28+C29+C30</f>
        <v>0</v>
      </c>
    </row>
    <row r="28" spans="1:3" s="238" customFormat="1" ht="12" customHeight="1">
      <c r="A28" s="13" t="s">
        <v>229</v>
      </c>
      <c r="B28" s="240" t="s">
        <v>234</v>
      </c>
      <c r="C28" s="150"/>
    </row>
    <row r="29" spans="1:3" s="238" customFormat="1" ht="12" customHeight="1">
      <c r="A29" s="13" t="s">
        <v>230</v>
      </c>
      <c r="B29" s="240" t="s">
        <v>235</v>
      </c>
      <c r="C29" s="150"/>
    </row>
    <row r="30" spans="1:3" s="238" customFormat="1" ht="12" customHeight="1">
      <c r="A30" s="13" t="s">
        <v>518</v>
      </c>
      <c r="B30" s="463" t="s">
        <v>519</v>
      </c>
      <c r="C30" s="150"/>
    </row>
    <row r="31" spans="1:3" s="238" customFormat="1" ht="12" customHeight="1">
      <c r="A31" s="13" t="s">
        <v>231</v>
      </c>
      <c r="B31" s="240" t="s">
        <v>236</v>
      </c>
      <c r="C31" s="150"/>
    </row>
    <row r="32" spans="1:3" s="238" customFormat="1" ht="12" customHeight="1">
      <c r="A32" s="13" t="s">
        <v>232</v>
      </c>
      <c r="B32" s="240" t="s">
        <v>237</v>
      </c>
      <c r="C32" s="150"/>
    </row>
    <row r="33" spans="1:3" s="238" customFormat="1" ht="12" customHeight="1" thickBot="1">
      <c r="A33" s="15" t="s">
        <v>233</v>
      </c>
      <c r="B33" s="241" t="s">
        <v>238</v>
      </c>
      <c r="C33" s="152"/>
    </row>
    <row r="34" spans="1:3" s="238" customFormat="1" ht="12" customHeight="1" thickBot="1">
      <c r="A34" s="19" t="s">
        <v>45</v>
      </c>
      <c r="B34" s="20" t="s">
        <v>520</v>
      </c>
      <c r="C34" s="149">
        <f>SUM(C35:C45)</f>
        <v>6033000</v>
      </c>
    </row>
    <row r="35" spans="1:3" s="238" customFormat="1" ht="12" customHeight="1">
      <c r="A35" s="14" t="s">
        <v>110</v>
      </c>
      <c r="B35" s="239" t="s">
        <v>241</v>
      </c>
      <c r="C35" s="151"/>
    </row>
    <row r="36" spans="1:3" s="238" customFormat="1" ht="12" customHeight="1">
      <c r="A36" s="13" t="s">
        <v>111</v>
      </c>
      <c r="B36" s="240" t="s">
        <v>242</v>
      </c>
      <c r="C36" s="150">
        <v>4150000</v>
      </c>
    </row>
    <row r="37" spans="1:3" s="238" customFormat="1" ht="12" customHeight="1">
      <c r="A37" s="13" t="s">
        <v>112</v>
      </c>
      <c r="B37" s="240" t="s">
        <v>243</v>
      </c>
      <c r="C37" s="150">
        <v>500000</v>
      </c>
    </row>
    <row r="38" spans="1:3" s="238" customFormat="1" ht="12" customHeight="1">
      <c r="A38" s="13" t="s">
        <v>163</v>
      </c>
      <c r="B38" s="240" t="s">
        <v>244</v>
      </c>
      <c r="C38" s="150"/>
    </row>
    <row r="39" spans="1:3" s="238" customFormat="1" ht="12" customHeight="1">
      <c r="A39" s="13" t="s">
        <v>164</v>
      </c>
      <c r="B39" s="240" t="s">
        <v>245</v>
      </c>
      <c r="C39" s="150"/>
    </row>
    <row r="40" spans="1:3" s="238" customFormat="1" ht="12" customHeight="1">
      <c r="A40" s="13" t="s">
        <v>165</v>
      </c>
      <c r="B40" s="240" t="s">
        <v>246</v>
      </c>
      <c r="C40" s="150">
        <v>1283000</v>
      </c>
    </row>
    <row r="41" spans="1:3" s="238" customFormat="1" ht="12" customHeight="1">
      <c r="A41" s="13" t="s">
        <v>166</v>
      </c>
      <c r="B41" s="240" t="s">
        <v>247</v>
      </c>
      <c r="C41" s="150"/>
    </row>
    <row r="42" spans="1:3" s="238" customFormat="1" ht="12" customHeight="1">
      <c r="A42" s="13" t="s">
        <v>167</v>
      </c>
      <c r="B42" s="240" t="s">
        <v>636</v>
      </c>
      <c r="C42" s="150"/>
    </row>
    <row r="43" spans="1:3" s="238" customFormat="1" ht="12" customHeight="1">
      <c r="A43" s="13" t="s">
        <v>239</v>
      </c>
      <c r="B43" s="240" t="s">
        <v>249</v>
      </c>
      <c r="C43" s="153"/>
    </row>
    <row r="44" spans="1:3" s="238" customFormat="1" ht="12" customHeight="1">
      <c r="A44" s="15" t="s">
        <v>240</v>
      </c>
      <c r="B44" s="241" t="s">
        <v>521</v>
      </c>
      <c r="C44" s="228"/>
    </row>
    <row r="45" spans="1:3" s="238" customFormat="1" ht="12" customHeight="1" thickBot="1">
      <c r="A45" s="15" t="s">
        <v>522</v>
      </c>
      <c r="B45" s="146" t="s">
        <v>250</v>
      </c>
      <c r="C45" s="228">
        <v>100000</v>
      </c>
    </row>
    <row r="46" spans="1:3" s="238" customFormat="1" ht="12" customHeight="1" thickBot="1">
      <c r="A46" s="19" t="s">
        <v>46</v>
      </c>
      <c r="B46" s="20" t="s">
        <v>251</v>
      </c>
      <c r="C46" s="149">
        <f>SUM(C47:C51)</f>
        <v>0</v>
      </c>
    </row>
    <row r="47" spans="1:3" s="238" customFormat="1" ht="12" customHeight="1">
      <c r="A47" s="14" t="s">
        <v>113</v>
      </c>
      <c r="B47" s="239" t="s">
        <v>255</v>
      </c>
      <c r="C47" s="277"/>
    </row>
    <row r="48" spans="1:3" s="238" customFormat="1" ht="12" customHeight="1">
      <c r="A48" s="13" t="s">
        <v>114</v>
      </c>
      <c r="B48" s="240" t="s">
        <v>256</v>
      </c>
      <c r="C48" s="153"/>
    </row>
    <row r="49" spans="1:3" s="238" customFormat="1" ht="12" customHeight="1">
      <c r="A49" s="13" t="s">
        <v>252</v>
      </c>
      <c r="B49" s="240" t="s">
        <v>257</v>
      </c>
      <c r="C49" s="153"/>
    </row>
    <row r="50" spans="1:3" s="238" customFormat="1" ht="12" customHeight="1">
      <c r="A50" s="13" t="s">
        <v>253</v>
      </c>
      <c r="B50" s="240" t="s">
        <v>258</v>
      </c>
      <c r="C50" s="153"/>
    </row>
    <row r="51" spans="1:3" s="238" customFormat="1" ht="12" customHeight="1" thickBot="1">
      <c r="A51" s="15" t="s">
        <v>254</v>
      </c>
      <c r="B51" s="146" t="s">
        <v>259</v>
      </c>
      <c r="C51" s="228"/>
    </row>
    <row r="52" spans="1:3" s="238" customFormat="1" ht="12" customHeight="1" thickBot="1">
      <c r="A52" s="19" t="s">
        <v>168</v>
      </c>
      <c r="B52" s="20" t="s">
        <v>260</v>
      </c>
      <c r="C52" s="149">
        <f>SUM(C53:C55)</f>
        <v>0</v>
      </c>
    </row>
    <row r="53" spans="1:3" s="238" customFormat="1" ht="12" customHeight="1">
      <c r="A53" s="14" t="s">
        <v>115</v>
      </c>
      <c r="B53" s="239" t="s">
        <v>261</v>
      </c>
      <c r="C53" s="151"/>
    </row>
    <row r="54" spans="1:3" s="238" customFormat="1" ht="12" customHeight="1">
      <c r="A54" s="13" t="s">
        <v>116</v>
      </c>
      <c r="B54" s="240" t="s">
        <v>392</v>
      </c>
      <c r="C54" s="150"/>
    </row>
    <row r="55" spans="1:3" s="238" customFormat="1" ht="12" customHeight="1">
      <c r="A55" s="13" t="s">
        <v>264</v>
      </c>
      <c r="B55" s="240" t="s">
        <v>262</v>
      </c>
      <c r="C55" s="150"/>
    </row>
    <row r="56" spans="1:3" s="238" customFormat="1" ht="12" customHeight="1" thickBot="1">
      <c r="A56" s="15" t="s">
        <v>265</v>
      </c>
      <c r="B56" s="146" t="s">
        <v>263</v>
      </c>
      <c r="C56" s="152"/>
    </row>
    <row r="57" spans="1:3" s="238" customFormat="1" ht="12" customHeight="1" thickBot="1">
      <c r="A57" s="19" t="s">
        <v>48</v>
      </c>
      <c r="B57" s="144" t="s">
        <v>266</v>
      </c>
      <c r="C57" s="149">
        <f>SUM(C58:C60)</f>
        <v>0</v>
      </c>
    </row>
    <row r="58" spans="1:3" s="238" customFormat="1" ht="12" customHeight="1">
      <c r="A58" s="14" t="s">
        <v>169</v>
      </c>
      <c r="B58" s="239" t="s">
        <v>268</v>
      </c>
      <c r="C58" s="153"/>
    </row>
    <row r="59" spans="1:3" s="238" customFormat="1" ht="12" customHeight="1">
      <c r="A59" s="13" t="s">
        <v>170</v>
      </c>
      <c r="B59" s="240" t="s">
        <v>393</v>
      </c>
      <c r="C59" s="153"/>
    </row>
    <row r="60" spans="1:3" s="238" customFormat="1" ht="12" customHeight="1">
      <c r="A60" s="13" t="s">
        <v>192</v>
      </c>
      <c r="B60" s="240" t="s">
        <v>269</v>
      </c>
      <c r="C60" s="153"/>
    </row>
    <row r="61" spans="1:3" s="238" customFormat="1" ht="12" customHeight="1" thickBot="1">
      <c r="A61" s="15" t="s">
        <v>267</v>
      </c>
      <c r="B61" s="146" t="s">
        <v>270</v>
      </c>
      <c r="C61" s="153"/>
    </row>
    <row r="62" spans="1:3" s="238" customFormat="1" ht="12" customHeight="1" thickBot="1">
      <c r="A62" s="464" t="s">
        <v>523</v>
      </c>
      <c r="B62" s="20" t="s">
        <v>271</v>
      </c>
      <c r="C62" s="154">
        <f>+C5+C12+C19+C26+C34+C46+C52+C57</f>
        <v>6033000</v>
      </c>
    </row>
    <row r="63" spans="1:3" s="238" customFormat="1" ht="12" customHeight="1" thickBot="1">
      <c r="A63" s="465" t="s">
        <v>272</v>
      </c>
      <c r="B63" s="144" t="s">
        <v>273</v>
      </c>
      <c r="C63" s="149">
        <f>SUM(C64:C66)</f>
        <v>0</v>
      </c>
    </row>
    <row r="64" spans="1:3" s="238" customFormat="1" ht="12" customHeight="1">
      <c r="A64" s="14" t="s">
        <v>304</v>
      </c>
      <c r="B64" s="239" t="s">
        <v>274</v>
      </c>
      <c r="C64" s="153"/>
    </row>
    <row r="65" spans="1:3" s="238" customFormat="1" ht="12" customHeight="1">
      <c r="A65" s="13" t="s">
        <v>313</v>
      </c>
      <c r="B65" s="240" t="s">
        <v>275</v>
      </c>
      <c r="C65" s="153"/>
    </row>
    <row r="66" spans="1:3" s="238" customFormat="1" ht="12" customHeight="1" thickBot="1">
      <c r="A66" s="15" t="s">
        <v>314</v>
      </c>
      <c r="B66" s="466" t="s">
        <v>524</v>
      </c>
      <c r="C66" s="153"/>
    </row>
    <row r="67" spans="1:3" s="238" customFormat="1" ht="12" customHeight="1" thickBot="1">
      <c r="A67" s="465" t="s">
        <v>277</v>
      </c>
      <c r="B67" s="144" t="s">
        <v>278</v>
      </c>
      <c r="C67" s="149">
        <f>SUM(C68:C71)</f>
        <v>0</v>
      </c>
    </row>
    <row r="68" spans="1:3" s="238" customFormat="1" ht="12" customHeight="1">
      <c r="A68" s="14" t="s">
        <v>148</v>
      </c>
      <c r="B68" s="239" t="s">
        <v>279</v>
      </c>
      <c r="C68" s="153"/>
    </row>
    <row r="69" spans="1:3" s="238" customFormat="1" ht="12" customHeight="1">
      <c r="A69" s="13" t="s">
        <v>149</v>
      </c>
      <c r="B69" s="240" t="s">
        <v>280</v>
      </c>
      <c r="C69" s="153"/>
    </row>
    <row r="70" spans="1:3" s="238" customFormat="1" ht="12" customHeight="1">
      <c r="A70" s="13" t="s">
        <v>305</v>
      </c>
      <c r="B70" s="240" t="s">
        <v>281</v>
      </c>
      <c r="C70" s="153"/>
    </row>
    <row r="71" spans="1:3" s="238" customFormat="1" ht="12" customHeight="1" thickBot="1">
      <c r="A71" s="15" t="s">
        <v>306</v>
      </c>
      <c r="B71" s="146" t="s">
        <v>282</v>
      </c>
      <c r="C71" s="153"/>
    </row>
    <row r="72" spans="1:3" s="238" customFormat="1" ht="12" customHeight="1" thickBot="1">
      <c r="A72" s="465" t="s">
        <v>283</v>
      </c>
      <c r="B72" s="144" t="s">
        <v>284</v>
      </c>
      <c r="C72" s="149">
        <f>SUM(C73:C74)</f>
        <v>447404</v>
      </c>
    </row>
    <row r="73" spans="1:3" s="238" customFormat="1" ht="12" customHeight="1">
      <c r="A73" s="14" t="s">
        <v>307</v>
      </c>
      <c r="B73" s="239" t="s">
        <v>285</v>
      </c>
      <c r="C73" s="153">
        <v>447404</v>
      </c>
    </row>
    <row r="74" spans="1:3" s="238" customFormat="1" ht="12" customHeight="1" thickBot="1">
      <c r="A74" s="15" t="s">
        <v>308</v>
      </c>
      <c r="B74" s="146" t="s">
        <v>286</v>
      </c>
      <c r="C74" s="153"/>
    </row>
    <row r="75" spans="1:3" s="238" customFormat="1" ht="12" customHeight="1" thickBot="1">
      <c r="A75" s="465" t="s">
        <v>287</v>
      </c>
      <c r="B75" s="144" t="s">
        <v>288</v>
      </c>
      <c r="C75" s="149">
        <f>SUM(C76:C78)</f>
        <v>0</v>
      </c>
    </row>
    <row r="76" spans="1:3" s="238" customFormat="1" ht="12" customHeight="1">
      <c r="A76" s="14" t="s">
        <v>309</v>
      </c>
      <c r="B76" s="239" t="s">
        <v>289</v>
      </c>
      <c r="C76" s="153"/>
    </row>
    <row r="77" spans="1:3" s="238" customFormat="1" ht="12" customHeight="1">
      <c r="A77" s="13" t="s">
        <v>310</v>
      </c>
      <c r="B77" s="240" t="s">
        <v>290</v>
      </c>
      <c r="C77" s="153"/>
    </row>
    <row r="78" spans="1:3" s="238" customFormat="1" ht="12" customHeight="1" thickBot="1">
      <c r="A78" s="15" t="s">
        <v>311</v>
      </c>
      <c r="B78" s="146" t="s">
        <v>291</v>
      </c>
      <c r="C78" s="153"/>
    </row>
    <row r="79" spans="1:3" s="238" customFormat="1" ht="12" customHeight="1" thickBot="1">
      <c r="A79" s="465" t="s">
        <v>292</v>
      </c>
      <c r="B79" s="144" t="s">
        <v>312</v>
      </c>
      <c r="C79" s="149">
        <f>SUM(C80:C83)</f>
        <v>0</v>
      </c>
    </row>
    <row r="80" spans="1:3" s="238" customFormat="1" ht="12" customHeight="1">
      <c r="A80" s="243" t="s">
        <v>293</v>
      </c>
      <c r="B80" s="239" t="s">
        <v>294</v>
      </c>
      <c r="C80" s="153"/>
    </row>
    <row r="81" spans="1:3" s="238" customFormat="1" ht="12" customHeight="1">
      <c r="A81" s="244" t="s">
        <v>295</v>
      </c>
      <c r="B81" s="240" t="s">
        <v>296</v>
      </c>
      <c r="C81" s="153"/>
    </row>
    <row r="82" spans="1:3" s="238" customFormat="1" ht="12" customHeight="1">
      <c r="A82" s="244" t="s">
        <v>297</v>
      </c>
      <c r="B82" s="240" t="s">
        <v>298</v>
      </c>
      <c r="C82" s="153"/>
    </row>
    <row r="83" spans="1:3" s="238" customFormat="1" ht="12" customHeight="1" thickBot="1">
      <c r="A83" s="245" t="s">
        <v>299</v>
      </c>
      <c r="B83" s="146" t="s">
        <v>300</v>
      </c>
      <c r="C83" s="153"/>
    </row>
    <row r="84" spans="1:3" s="238" customFormat="1" ht="12" customHeight="1" thickBot="1">
      <c r="A84" s="465" t="s">
        <v>301</v>
      </c>
      <c r="B84" s="144" t="s">
        <v>525</v>
      </c>
      <c r="C84" s="278"/>
    </row>
    <row r="85" spans="1:3" s="238" customFormat="1" ht="13.5" customHeight="1" thickBot="1">
      <c r="A85" s="465" t="s">
        <v>303</v>
      </c>
      <c r="B85" s="144" t="s">
        <v>302</v>
      </c>
      <c r="C85" s="278"/>
    </row>
    <row r="86" spans="1:3" s="238" customFormat="1" ht="15.75" customHeight="1" thickBot="1">
      <c r="A86" s="465" t="s">
        <v>315</v>
      </c>
      <c r="B86" s="246" t="s">
        <v>526</v>
      </c>
      <c r="C86" s="154">
        <f>+C63+C67+C72+C75+C79+C85+C84</f>
        <v>447404</v>
      </c>
    </row>
    <row r="87" spans="1:3" s="238" customFormat="1" ht="16.5" customHeight="1" thickBot="1">
      <c r="A87" s="467" t="s">
        <v>527</v>
      </c>
      <c r="B87" s="247" t="s">
        <v>528</v>
      </c>
      <c r="C87" s="154">
        <f>+C62+C86</f>
        <v>6480404</v>
      </c>
    </row>
    <row r="88" spans="1:3" s="238" customFormat="1" ht="83.25" customHeight="1">
      <c r="A88" s="4"/>
      <c r="B88" s="5"/>
      <c r="C88" s="155"/>
    </row>
    <row r="89" spans="1:3" ht="16.5" customHeight="1">
      <c r="A89" s="735" t="s">
        <v>70</v>
      </c>
      <c r="B89" s="735"/>
      <c r="C89" s="735"/>
    </row>
    <row r="90" spans="1:3" s="248" customFormat="1" ht="16.5" customHeight="1" thickBot="1">
      <c r="A90" s="736" t="s">
        <v>151</v>
      </c>
      <c r="B90" s="736"/>
      <c r="C90" s="88" t="s">
        <v>667</v>
      </c>
    </row>
    <row r="91" spans="1:3" ht="37.5" customHeight="1" thickBot="1">
      <c r="A91" s="22" t="s">
        <v>92</v>
      </c>
      <c r="B91" s="23" t="s">
        <v>71</v>
      </c>
      <c r="C91" s="36" t="str">
        <f>+C3</f>
        <v>2017. évi előirányzat</v>
      </c>
    </row>
    <row r="92" spans="1:3" s="237" customFormat="1" ht="12" customHeight="1" thickBot="1">
      <c r="A92" s="32" t="s">
        <v>512</v>
      </c>
      <c r="B92" s="33" t="s">
        <v>513</v>
      </c>
      <c r="C92" s="34" t="s">
        <v>514</v>
      </c>
    </row>
    <row r="93" spans="1:3" ht="12" customHeight="1" thickBot="1">
      <c r="A93" s="21" t="s">
        <v>41</v>
      </c>
      <c r="B93" s="26" t="s">
        <v>566</v>
      </c>
      <c r="C93" s="148">
        <f>C94+C95+C96+C97+C98+C111</f>
        <v>192996700</v>
      </c>
    </row>
    <row r="94" spans="1:3" ht="12" customHeight="1">
      <c r="A94" s="16" t="s">
        <v>117</v>
      </c>
      <c r="B94" s="9" t="s">
        <v>72</v>
      </c>
      <c r="C94" s="509">
        <f>118633000-24000</f>
        <v>118609000</v>
      </c>
    </row>
    <row r="95" spans="1:3" ht="12" customHeight="1">
      <c r="A95" s="13" t="s">
        <v>118</v>
      </c>
      <c r="B95" s="7" t="s">
        <v>171</v>
      </c>
      <c r="C95" s="153">
        <f>28092500-10800</f>
        <v>28081700</v>
      </c>
    </row>
    <row r="96" spans="1:3" ht="12" customHeight="1">
      <c r="A96" s="13" t="s">
        <v>119</v>
      </c>
      <c r="B96" s="7" t="s">
        <v>146</v>
      </c>
      <c r="C96" s="228">
        <f>46477000-171000</f>
        <v>46306000</v>
      </c>
    </row>
    <row r="97" spans="1:3" ht="12" customHeight="1">
      <c r="A97" s="13" t="s">
        <v>120</v>
      </c>
      <c r="B97" s="10" t="s">
        <v>172</v>
      </c>
      <c r="C97" s="152"/>
    </row>
    <row r="98" spans="1:3" ht="12" customHeight="1">
      <c r="A98" s="13" t="s">
        <v>131</v>
      </c>
      <c r="B98" s="18" t="s">
        <v>173</v>
      </c>
      <c r="C98" s="152"/>
    </row>
    <row r="99" spans="1:3" ht="12" customHeight="1">
      <c r="A99" s="13" t="s">
        <v>121</v>
      </c>
      <c r="B99" s="7" t="s">
        <v>529</v>
      </c>
      <c r="C99" s="152"/>
    </row>
    <row r="100" spans="1:3" ht="12" customHeight="1">
      <c r="A100" s="13" t="s">
        <v>122</v>
      </c>
      <c r="B100" s="92" t="s">
        <v>530</v>
      </c>
      <c r="C100" s="152"/>
    </row>
    <row r="101" spans="1:3" ht="12" customHeight="1">
      <c r="A101" s="13" t="s">
        <v>132</v>
      </c>
      <c r="B101" s="92" t="s">
        <v>531</v>
      </c>
      <c r="C101" s="152"/>
    </row>
    <row r="102" spans="1:3" ht="12" customHeight="1">
      <c r="A102" s="13" t="s">
        <v>133</v>
      </c>
      <c r="B102" s="90" t="s">
        <v>318</v>
      </c>
      <c r="C102" s="152"/>
    </row>
    <row r="103" spans="1:3" ht="12" customHeight="1">
      <c r="A103" s="13" t="s">
        <v>134</v>
      </c>
      <c r="B103" s="91" t="s">
        <v>319</v>
      </c>
      <c r="C103" s="152"/>
    </row>
    <row r="104" spans="1:3" ht="12" customHeight="1">
      <c r="A104" s="13" t="s">
        <v>135</v>
      </c>
      <c r="B104" s="91" t="s">
        <v>320</v>
      </c>
      <c r="C104" s="152"/>
    </row>
    <row r="105" spans="1:3" ht="12" customHeight="1">
      <c r="A105" s="13" t="s">
        <v>137</v>
      </c>
      <c r="B105" s="90" t="s">
        <v>321</v>
      </c>
      <c r="C105" s="152"/>
    </row>
    <row r="106" spans="1:3" ht="12" customHeight="1">
      <c r="A106" s="13" t="s">
        <v>174</v>
      </c>
      <c r="B106" s="90" t="s">
        <v>322</v>
      </c>
      <c r="C106" s="152"/>
    </row>
    <row r="107" spans="1:3" ht="12" customHeight="1">
      <c r="A107" s="13" t="s">
        <v>316</v>
      </c>
      <c r="B107" s="91" t="s">
        <v>323</v>
      </c>
      <c r="C107" s="152"/>
    </row>
    <row r="108" spans="1:3" ht="12" customHeight="1">
      <c r="A108" s="12" t="s">
        <v>317</v>
      </c>
      <c r="B108" s="92" t="s">
        <v>324</v>
      </c>
      <c r="C108" s="152"/>
    </row>
    <row r="109" spans="1:3" ht="12" customHeight="1">
      <c r="A109" s="13" t="s">
        <v>532</v>
      </c>
      <c r="B109" s="92" t="s">
        <v>325</v>
      </c>
      <c r="C109" s="152"/>
    </row>
    <row r="110" spans="1:3" ht="12" customHeight="1">
      <c r="A110" s="15" t="s">
        <v>533</v>
      </c>
      <c r="B110" s="92" t="s">
        <v>326</v>
      </c>
      <c r="C110" s="152"/>
    </row>
    <row r="111" spans="1:3" ht="12" customHeight="1">
      <c r="A111" s="13" t="s">
        <v>534</v>
      </c>
      <c r="B111" s="10" t="s">
        <v>73</v>
      </c>
      <c r="C111" s="150"/>
    </row>
    <row r="112" spans="1:3" ht="12" customHeight="1">
      <c r="A112" s="13" t="s">
        <v>535</v>
      </c>
      <c r="B112" s="7" t="s">
        <v>536</v>
      </c>
      <c r="C112" s="150"/>
    </row>
    <row r="113" spans="1:3" ht="12" customHeight="1" thickBot="1">
      <c r="A113" s="17" t="s">
        <v>537</v>
      </c>
      <c r="B113" s="468" t="s">
        <v>538</v>
      </c>
      <c r="C113" s="156"/>
    </row>
    <row r="114" spans="1:3" ht="12" customHeight="1" thickBot="1">
      <c r="A114" s="469" t="s">
        <v>42</v>
      </c>
      <c r="B114" s="470" t="s">
        <v>327</v>
      </c>
      <c r="C114" s="471">
        <f>+C115+C117+C119</f>
        <v>1901000</v>
      </c>
    </row>
    <row r="115" spans="1:3" ht="12" customHeight="1">
      <c r="A115" s="14" t="s">
        <v>123</v>
      </c>
      <c r="B115" s="7" t="s">
        <v>191</v>
      </c>
      <c r="C115" s="277">
        <v>1901000</v>
      </c>
    </row>
    <row r="116" spans="1:3" ht="12" customHeight="1">
      <c r="A116" s="14" t="s">
        <v>124</v>
      </c>
      <c r="B116" s="11" t="s">
        <v>331</v>
      </c>
      <c r="C116" s="151"/>
    </row>
    <row r="117" spans="1:3" ht="12" customHeight="1">
      <c r="A117" s="14" t="s">
        <v>125</v>
      </c>
      <c r="B117" s="11" t="s">
        <v>175</v>
      </c>
      <c r="C117" s="150"/>
    </row>
    <row r="118" spans="1:3" ht="12" customHeight="1">
      <c r="A118" s="14" t="s">
        <v>126</v>
      </c>
      <c r="B118" s="11" t="s">
        <v>332</v>
      </c>
      <c r="C118" s="135"/>
    </row>
    <row r="119" spans="1:3" ht="12" customHeight="1">
      <c r="A119" s="14" t="s">
        <v>127</v>
      </c>
      <c r="B119" s="146" t="s">
        <v>193</v>
      </c>
      <c r="C119" s="488"/>
    </row>
    <row r="120" spans="1:3" ht="12" customHeight="1">
      <c r="A120" s="14" t="s">
        <v>136</v>
      </c>
      <c r="B120" s="145" t="s">
        <v>394</v>
      </c>
      <c r="C120" s="488"/>
    </row>
    <row r="121" spans="1:3" ht="12" customHeight="1">
      <c r="A121" s="14" t="s">
        <v>138</v>
      </c>
      <c r="B121" s="235" t="s">
        <v>337</v>
      </c>
      <c r="C121" s="488"/>
    </row>
    <row r="122" spans="1:3" ht="15.75">
      <c r="A122" s="14" t="s">
        <v>176</v>
      </c>
      <c r="B122" s="91" t="s">
        <v>320</v>
      </c>
      <c r="C122" s="488"/>
    </row>
    <row r="123" spans="1:3" ht="12" customHeight="1">
      <c r="A123" s="14" t="s">
        <v>177</v>
      </c>
      <c r="B123" s="91" t="s">
        <v>336</v>
      </c>
      <c r="C123" s="488"/>
    </row>
    <row r="124" spans="1:3" ht="12" customHeight="1">
      <c r="A124" s="14" t="s">
        <v>178</v>
      </c>
      <c r="B124" s="91" t="s">
        <v>335</v>
      </c>
      <c r="C124" s="488"/>
    </row>
    <row r="125" spans="1:3" ht="12" customHeight="1">
      <c r="A125" s="14" t="s">
        <v>328</v>
      </c>
      <c r="B125" s="91" t="s">
        <v>323</v>
      </c>
      <c r="C125" s="488"/>
    </row>
    <row r="126" spans="1:3" ht="12" customHeight="1">
      <c r="A126" s="14" t="s">
        <v>329</v>
      </c>
      <c r="B126" s="91" t="s">
        <v>334</v>
      </c>
      <c r="C126" s="135"/>
    </row>
    <row r="127" spans="1:3" ht="16.5" thickBot="1">
      <c r="A127" s="12" t="s">
        <v>330</v>
      </c>
      <c r="B127" s="91" t="s">
        <v>333</v>
      </c>
      <c r="C127" s="136"/>
    </row>
    <row r="128" spans="1:3" ht="12" customHeight="1" thickBot="1">
      <c r="A128" s="19" t="s">
        <v>43</v>
      </c>
      <c r="B128" s="86" t="s">
        <v>539</v>
      </c>
      <c r="C128" s="149">
        <f>+C93+C114</f>
        <v>194897700</v>
      </c>
    </row>
    <row r="129" spans="1:3" ht="12" customHeight="1" thickBot="1">
      <c r="A129" s="19" t="s">
        <v>44</v>
      </c>
      <c r="B129" s="86" t="s">
        <v>540</v>
      </c>
      <c r="C129" s="149">
        <f>+C130+C131+C132</f>
        <v>0</v>
      </c>
    </row>
    <row r="130" spans="1:3" ht="12" customHeight="1">
      <c r="A130" s="14" t="s">
        <v>228</v>
      </c>
      <c r="B130" s="11" t="s">
        <v>541</v>
      </c>
      <c r="C130" s="135"/>
    </row>
    <row r="131" spans="1:3" ht="12" customHeight="1">
      <c r="A131" s="14" t="s">
        <v>231</v>
      </c>
      <c r="B131" s="11" t="s">
        <v>542</v>
      </c>
      <c r="C131" s="135"/>
    </row>
    <row r="132" spans="1:3" ht="12" customHeight="1" thickBot="1">
      <c r="A132" s="12" t="s">
        <v>232</v>
      </c>
      <c r="B132" s="11" t="s">
        <v>543</v>
      </c>
      <c r="C132" s="135"/>
    </row>
    <row r="133" spans="1:3" ht="12" customHeight="1" thickBot="1">
      <c r="A133" s="19" t="s">
        <v>45</v>
      </c>
      <c r="B133" s="86" t="s">
        <v>544</v>
      </c>
      <c r="C133" s="149">
        <f>SUM(C134:C139)</f>
        <v>0</v>
      </c>
    </row>
    <row r="134" spans="1:3" ht="12" customHeight="1">
      <c r="A134" s="14" t="s">
        <v>110</v>
      </c>
      <c r="B134" s="8" t="s">
        <v>545</v>
      </c>
      <c r="C134" s="135"/>
    </row>
    <row r="135" spans="1:3" ht="12" customHeight="1">
      <c r="A135" s="14" t="s">
        <v>111</v>
      </c>
      <c r="B135" s="8" t="s">
        <v>546</v>
      </c>
      <c r="C135" s="135"/>
    </row>
    <row r="136" spans="1:3" ht="12" customHeight="1">
      <c r="A136" s="14" t="s">
        <v>112</v>
      </c>
      <c r="B136" s="8" t="s">
        <v>547</v>
      </c>
      <c r="C136" s="135"/>
    </row>
    <row r="137" spans="1:3" ht="12" customHeight="1">
      <c r="A137" s="14" t="s">
        <v>163</v>
      </c>
      <c r="B137" s="8" t="s">
        <v>548</v>
      </c>
      <c r="C137" s="135"/>
    </row>
    <row r="138" spans="1:3" ht="12" customHeight="1">
      <c r="A138" s="14" t="s">
        <v>164</v>
      </c>
      <c r="B138" s="8" t="s">
        <v>549</v>
      </c>
      <c r="C138" s="135"/>
    </row>
    <row r="139" spans="1:3" ht="12" customHeight="1" thickBot="1">
      <c r="A139" s="12" t="s">
        <v>165</v>
      </c>
      <c r="B139" s="8" t="s">
        <v>550</v>
      </c>
      <c r="C139" s="135"/>
    </row>
    <row r="140" spans="1:3" ht="12" customHeight="1" thickBot="1">
      <c r="A140" s="19" t="s">
        <v>46</v>
      </c>
      <c r="B140" s="86" t="s">
        <v>551</v>
      </c>
      <c r="C140" s="154">
        <f>+C141+C142+C143+C144</f>
        <v>0</v>
      </c>
    </row>
    <row r="141" spans="1:3" ht="12" customHeight="1">
      <c r="A141" s="14" t="s">
        <v>113</v>
      </c>
      <c r="B141" s="8" t="s">
        <v>338</v>
      </c>
      <c r="C141" s="135"/>
    </row>
    <row r="142" spans="1:3" ht="12" customHeight="1">
      <c r="A142" s="14" t="s">
        <v>114</v>
      </c>
      <c r="B142" s="8" t="s">
        <v>339</v>
      </c>
      <c r="C142" s="135"/>
    </row>
    <row r="143" spans="1:3" ht="12" customHeight="1">
      <c r="A143" s="14" t="s">
        <v>252</v>
      </c>
      <c r="B143" s="8" t="s">
        <v>552</v>
      </c>
      <c r="C143" s="135"/>
    </row>
    <row r="144" spans="1:3" ht="12" customHeight="1" thickBot="1">
      <c r="A144" s="12" t="s">
        <v>253</v>
      </c>
      <c r="B144" s="6" t="s">
        <v>357</v>
      </c>
      <c r="C144" s="135"/>
    </row>
    <row r="145" spans="1:3" ht="12" customHeight="1" thickBot="1">
      <c r="A145" s="19" t="s">
        <v>47</v>
      </c>
      <c r="B145" s="86" t="s">
        <v>553</v>
      </c>
      <c r="C145" s="157">
        <f>SUM(C146:C150)</f>
        <v>0</v>
      </c>
    </row>
    <row r="146" spans="1:3" ht="12" customHeight="1">
      <c r="A146" s="14" t="s">
        <v>115</v>
      </c>
      <c r="B146" s="8" t="s">
        <v>554</v>
      </c>
      <c r="C146" s="135"/>
    </row>
    <row r="147" spans="1:3" ht="12" customHeight="1">
      <c r="A147" s="14" t="s">
        <v>116</v>
      </c>
      <c r="B147" s="8" t="s">
        <v>555</v>
      </c>
      <c r="C147" s="135"/>
    </row>
    <row r="148" spans="1:3" ht="12" customHeight="1">
      <c r="A148" s="14" t="s">
        <v>264</v>
      </c>
      <c r="B148" s="8" t="s">
        <v>556</v>
      </c>
      <c r="C148" s="135"/>
    </row>
    <row r="149" spans="1:3" ht="12" customHeight="1">
      <c r="A149" s="14" t="s">
        <v>265</v>
      </c>
      <c r="B149" s="8" t="s">
        <v>557</v>
      </c>
      <c r="C149" s="135"/>
    </row>
    <row r="150" spans="1:3" ht="12" customHeight="1" thickBot="1">
      <c r="A150" s="14" t="s">
        <v>558</v>
      </c>
      <c r="B150" s="8" t="s">
        <v>559</v>
      </c>
      <c r="C150" s="135"/>
    </row>
    <row r="151" spans="1:3" ht="12" customHeight="1" thickBot="1">
      <c r="A151" s="19" t="s">
        <v>48</v>
      </c>
      <c r="B151" s="86" t="s">
        <v>560</v>
      </c>
      <c r="C151" s="472"/>
    </row>
    <row r="152" spans="1:3" ht="12" customHeight="1" thickBot="1">
      <c r="A152" s="19" t="s">
        <v>49</v>
      </c>
      <c r="B152" s="86" t="s">
        <v>561</v>
      </c>
      <c r="C152" s="472"/>
    </row>
    <row r="153" spans="1:6" ht="15" customHeight="1" thickBot="1">
      <c r="A153" s="19" t="s">
        <v>50</v>
      </c>
      <c r="B153" s="86" t="s">
        <v>562</v>
      </c>
      <c r="C153" s="249">
        <f>+C129+C133+C140+C145+C151+C152</f>
        <v>0</v>
      </c>
      <c r="D153" s="250"/>
      <c r="E153" s="250"/>
      <c r="F153" s="250"/>
    </row>
    <row r="154" spans="1:3" s="238" customFormat="1" ht="12.75" customHeight="1" thickBot="1">
      <c r="A154" s="147" t="s">
        <v>51</v>
      </c>
      <c r="B154" s="224" t="s">
        <v>563</v>
      </c>
      <c r="C154" s="249">
        <f>+C128+C153</f>
        <v>194897700</v>
      </c>
    </row>
    <row r="155" ht="7.5" customHeight="1"/>
    <row r="156" spans="1:3" ht="15.75">
      <c r="A156" s="737" t="s">
        <v>340</v>
      </c>
      <c r="B156" s="737"/>
      <c r="C156" s="737"/>
    </row>
    <row r="157" spans="1:3" ht="15" customHeight="1" thickBot="1">
      <c r="A157" s="734" t="s">
        <v>152</v>
      </c>
      <c r="B157" s="734"/>
      <c r="C157" s="158" t="s">
        <v>667</v>
      </c>
    </row>
    <row r="158" spans="1:3" ht="13.5" customHeight="1" thickBot="1">
      <c r="A158" s="19">
        <v>1</v>
      </c>
      <c r="B158" s="25" t="s">
        <v>564</v>
      </c>
      <c r="C158" s="149">
        <f>+C62-C128</f>
        <v>-188864700</v>
      </c>
    </row>
    <row r="159" spans="1:3" ht="32.25" customHeight="1" thickBot="1">
      <c r="A159" s="19" t="s">
        <v>42</v>
      </c>
      <c r="B159" s="25" t="s">
        <v>565</v>
      </c>
      <c r="C159" s="149">
        <f>+C86-C153</f>
        <v>447404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11/2017.(III.30.)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7">
      <selection activeCell="E14" sqref="E14"/>
    </sheetView>
  </sheetViews>
  <sheetFormatPr defaultColWidth="9.00390625" defaultRowHeight="12.75"/>
  <cols>
    <col min="1" max="1" width="6.875" style="44" customWidth="1"/>
    <col min="2" max="2" width="55.125" style="94" customWidth="1"/>
    <col min="3" max="3" width="16.00390625" style="44" bestFit="1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167" t="s">
        <v>155</v>
      </c>
      <c r="C1" s="168"/>
      <c r="D1" s="168"/>
      <c r="E1" s="168"/>
      <c r="F1" s="741"/>
    </row>
    <row r="2" spans="5:6" ht="14.25" thickBot="1">
      <c r="E2" s="169" t="s">
        <v>687</v>
      </c>
      <c r="F2" s="741"/>
    </row>
    <row r="3" spans="1:6" ht="18" customHeight="1" thickBot="1">
      <c r="A3" s="739" t="s">
        <v>92</v>
      </c>
      <c r="B3" s="170" t="s">
        <v>79</v>
      </c>
      <c r="C3" s="171"/>
      <c r="D3" s="170" t="s">
        <v>80</v>
      </c>
      <c r="E3" s="172"/>
      <c r="F3" s="741"/>
    </row>
    <row r="4" spans="1:6" s="173" customFormat="1" ht="35.25" customHeight="1" thickBot="1">
      <c r="A4" s="740"/>
      <c r="B4" s="95" t="s">
        <v>85</v>
      </c>
      <c r="C4" s="36" t="s">
        <v>652</v>
      </c>
      <c r="D4" s="95" t="s">
        <v>85</v>
      </c>
      <c r="E4" s="43" t="str">
        <f>+C4</f>
        <v>2017. évi előirányzat</v>
      </c>
      <c r="F4" s="741"/>
    </row>
    <row r="5" spans="1:6" s="178" customFormat="1" ht="12" customHeight="1" thickBot="1">
      <c r="A5" s="174" t="s">
        <v>512</v>
      </c>
      <c r="B5" s="175" t="s">
        <v>513</v>
      </c>
      <c r="C5" s="176" t="s">
        <v>514</v>
      </c>
      <c r="D5" s="175" t="s">
        <v>567</v>
      </c>
      <c r="E5" s="177" t="s">
        <v>568</v>
      </c>
      <c r="F5" s="741"/>
    </row>
    <row r="6" spans="1:6" ht="12.75" customHeight="1">
      <c r="A6" s="179" t="s">
        <v>41</v>
      </c>
      <c r="B6" s="180" t="s">
        <v>341</v>
      </c>
      <c r="C6" s="646">
        <v>1174961208</v>
      </c>
      <c r="D6" s="198" t="s">
        <v>86</v>
      </c>
      <c r="E6" s="53">
        <v>1231407092</v>
      </c>
      <c r="F6" s="741"/>
    </row>
    <row r="7" spans="1:6" ht="12.75" customHeight="1">
      <c r="A7" s="181" t="s">
        <v>42</v>
      </c>
      <c r="B7" s="182" t="s">
        <v>342</v>
      </c>
      <c r="C7" s="54">
        <v>509920588</v>
      </c>
      <c r="D7" s="187" t="s">
        <v>171</v>
      </c>
      <c r="E7" s="55">
        <v>239580182</v>
      </c>
      <c r="F7" s="741"/>
    </row>
    <row r="8" spans="1:6" ht="12.75" customHeight="1">
      <c r="A8" s="181" t="s">
        <v>43</v>
      </c>
      <c r="B8" s="182" t="s">
        <v>362</v>
      </c>
      <c r="C8" s="54"/>
      <c r="D8" s="187" t="s">
        <v>196</v>
      </c>
      <c r="E8" s="55">
        <f>893977346+1600000</f>
        <v>895577346</v>
      </c>
      <c r="F8" s="741"/>
    </row>
    <row r="9" spans="1:6" ht="12.75" customHeight="1">
      <c r="A9" s="181" t="s">
        <v>44</v>
      </c>
      <c r="B9" s="182" t="s">
        <v>162</v>
      </c>
      <c r="C9" s="54">
        <v>319390000</v>
      </c>
      <c r="D9" s="187" t="s">
        <v>172</v>
      </c>
      <c r="E9" s="55">
        <v>95230000</v>
      </c>
      <c r="F9" s="741"/>
    </row>
    <row r="10" spans="1:6" ht="12.75" customHeight="1">
      <c r="A10" s="181" t="s">
        <v>45</v>
      </c>
      <c r="B10" s="183" t="s">
        <v>387</v>
      </c>
      <c r="C10" s="54">
        <v>448054678</v>
      </c>
      <c r="D10" s="187" t="s">
        <v>173</v>
      </c>
      <c r="E10" s="55">
        <v>40666500</v>
      </c>
      <c r="F10" s="741"/>
    </row>
    <row r="11" spans="1:6" ht="12.75" customHeight="1">
      <c r="A11" s="181" t="s">
        <v>46</v>
      </c>
      <c r="B11" s="182" t="s">
        <v>343</v>
      </c>
      <c r="C11" s="510">
        <v>6024000</v>
      </c>
      <c r="D11" s="187" t="s">
        <v>73</v>
      </c>
      <c r="E11" s="55">
        <f>108167657-1600000</f>
        <v>106567657</v>
      </c>
      <c r="F11" s="741"/>
    </row>
    <row r="12" spans="1:6" ht="12.75" customHeight="1">
      <c r="A12" s="181" t="s">
        <v>47</v>
      </c>
      <c r="B12" s="182" t="s">
        <v>569</v>
      </c>
      <c r="C12" s="54"/>
      <c r="D12" s="645"/>
      <c r="E12" s="55"/>
      <c r="F12" s="741"/>
    </row>
    <row r="13" spans="1:6" ht="12.75" customHeight="1">
      <c r="A13" s="181" t="s">
        <v>48</v>
      </c>
      <c r="B13" s="40"/>
      <c r="C13" s="54"/>
      <c r="D13" s="645"/>
      <c r="E13" s="55"/>
      <c r="F13" s="741"/>
    </row>
    <row r="14" spans="1:6" ht="12.75" customHeight="1">
      <c r="A14" s="181" t="s">
        <v>49</v>
      </c>
      <c r="B14" s="251"/>
      <c r="C14" s="510"/>
      <c r="D14" s="645"/>
      <c r="E14" s="55"/>
      <c r="F14" s="741"/>
    </row>
    <row r="15" spans="1:6" ht="12.75" customHeight="1">
      <c r="A15" s="181" t="s">
        <v>50</v>
      </c>
      <c r="B15" s="40"/>
      <c r="C15" s="54"/>
      <c r="D15" s="645"/>
      <c r="E15" s="55"/>
      <c r="F15" s="741"/>
    </row>
    <row r="16" spans="1:6" ht="12.75" customHeight="1">
      <c r="A16" s="181" t="s">
        <v>51</v>
      </c>
      <c r="B16" s="40"/>
      <c r="C16" s="159"/>
      <c r="D16" s="40"/>
      <c r="E16" s="163"/>
      <c r="F16" s="741"/>
    </row>
    <row r="17" spans="1:6" ht="12.75" customHeight="1" thickBot="1">
      <c r="A17" s="181" t="s">
        <v>52</v>
      </c>
      <c r="B17" s="46"/>
      <c r="C17" s="160"/>
      <c r="D17" s="40"/>
      <c r="E17" s="164"/>
      <c r="F17" s="741"/>
    </row>
    <row r="18" spans="1:6" ht="15.75" customHeight="1" thickBot="1">
      <c r="A18" s="184" t="s">
        <v>53</v>
      </c>
      <c r="B18" s="87" t="s">
        <v>570</v>
      </c>
      <c r="C18" s="161">
        <f>SUM(C6:C17)-C8</f>
        <v>2458350474</v>
      </c>
      <c r="D18" s="87" t="s">
        <v>348</v>
      </c>
      <c r="E18" s="165">
        <f>SUM(E6:E17)</f>
        <v>2609028777</v>
      </c>
      <c r="F18" s="741"/>
    </row>
    <row r="19" spans="1:6" ht="12.75" customHeight="1">
      <c r="A19" s="185" t="s">
        <v>54</v>
      </c>
      <c r="B19" s="186" t="s">
        <v>345</v>
      </c>
      <c r="C19" s="281">
        <f>SUM(C20:C23)</f>
        <v>292999415</v>
      </c>
      <c r="D19" s="187" t="s">
        <v>179</v>
      </c>
      <c r="E19" s="166"/>
      <c r="F19" s="741"/>
    </row>
    <row r="20" spans="1:6" ht="12.75" customHeight="1">
      <c r="A20" s="188" t="s">
        <v>55</v>
      </c>
      <c r="B20" s="187" t="s">
        <v>189</v>
      </c>
      <c r="C20" s="54">
        <v>292999415</v>
      </c>
      <c r="D20" s="187" t="s">
        <v>347</v>
      </c>
      <c r="E20" s="55">
        <v>100000000</v>
      </c>
      <c r="F20" s="741"/>
    </row>
    <row r="21" spans="1:6" ht="12.75" customHeight="1">
      <c r="A21" s="188" t="s">
        <v>56</v>
      </c>
      <c r="B21" s="187" t="s">
        <v>190</v>
      </c>
      <c r="C21" s="54"/>
      <c r="D21" s="187" t="s">
        <v>153</v>
      </c>
      <c r="E21" s="55"/>
      <c r="F21" s="741"/>
    </row>
    <row r="22" spans="1:6" ht="12.75" customHeight="1">
      <c r="A22" s="188" t="s">
        <v>57</v>
      </c>
      <c r="B22" s="187" t="s">
        <v>194</v>
      </c>
      <c r="C22" s="54"/>
      <c r="D22" s="187" t="s">
        <v>154</v>
      </c>
      <c r="E22" s="55"/>
      <c r="F22" s="741"/>
    </row>
    <row r="23" spans="1:6" ht="12.75" customHeight="1">
      <c r="A23" s="188" t="s">
        <v>58</v>
      </c>
      <c r="B23" s="187" t="s">
        <v>195</v>
      </c>
      <c r="C23" s="54"/>
      <c r="D23" s="186" t="s">
        <v>197</v>
      </c>
      <c r="E23" s="55"/>
      <c r="F23" s="741"/>
    </row>
    <row r="24" spans="1:6" ht="12.75" customHeight="1">
      <c r="A24" s="188" t="s">
        <v>59</v>
      </c>
      <c r="B24" s="187" t="s">
        <v>346</v>
      </c>
      <c r="C24" s="189">
        <f>SUM(C25:C28)</f>
        <v>100000000</v>
      </c>
      <c r="D24" s="187" t="s">
        <v>180</v>
      </c>
      <c r="E24" s="55"/>
      <c r="F24" s="741"/>
    </row>
    <row r="25" spans="1:6" ht="12.75" customHeight="1">
      <c r="A25" s="185" t="s">
        <v>60</v>
      </c>
      <c r="B25" s="186" t="s">
        <v>344</v>
      </c>
      <c r="C25" s="162">
        <v>100000000</v>
      </c>
      <c r="D25" s="180" t="s">
        <v>552</v>
      </c>
      <c r="E25" s="166"/>
      <c r="F25" s="741"/>
    </row>
    <row r="26" spans="1:6" ht="12.75" customHeight="1">
      <c r="A26" s="188" t="s">
        <v>61</v>
      </c>
      <c r="B26" s="187" t="s">
        <v>571</v>
      </c>
      <c r="C26" s="54"/>
      <c r="D26" s="182" t="s">
        <v>560</v>
      </c>
      <c r="E26" s="55"/>
      <c r="F26" s="741"/>
    </row>
    <row r="27" spans="1:6" ht="12.75" customHeight="1">
      <c r="A27" s="181" t="s">
        <v>62</v>
      </c>
      <c r="B27" s="187" t="s">
        <v>525</v>
      </c>
      <c r="C27" s="54"/>
      <c r="D27" s="182" t="s">
        <v>561</v>
      </c>
      <c r="E27" s="55"/>
      <c r="F27" s="741"/>
    </row>
    <row r="28" spans="1:6" ht="12.75" customHeight="1" thickBot="1">
      <c r="A28" s="227" t="s">
        <v>63</v>
      </c>
      <c r="B28" s="186" t="s">
        <v>302</v>
      </c>
      <c r="C28" s="162"/>
      <c r="D28" s="252" t="s">
        <v>645</v>
      </c>
      <c r="E28" s="166">
        <v>35164932</v>
      </c>
      <c r="F28" s="741"/>
    </row>
    <row r="29" spans="1:6" ht="13.5" customHeight="1" thickBot="1">
      <c r="A29" s="184" t="s">
        <v>64</v>
      </c>
      <c r="B29" s="87" t="s">
        <v>572</v>
      </c>
      <c r="C29" s="161">
        <f>+C19+C24+C27+C28</f>
        <v>392999415</v>
      </c>
      <c r="D29" s="87" t="s">
        <v>573</v>
      </c>
      <c r="E29" s="165">
        <f>SUM(E19:E28)</f>
        <v>135164932</v>
      </c>
      <c r="F29" s="741"/>
    </row>
    <row r="30" spans="1:6" ht="13.5" thickBot="1">
      <c r="A30" s="184" t="s">
        <v>65</v>
      </c>
      <c r="B30" s="190" t="s">
        <v>574</v>
      </c>
      <c r="C30" s="191">
        <f>+C18+C29</f>
        <v>2851349889</v>
      </c>
      <c r="D30" s="190" t="s">
        <v>575</v>
      </c>
      <c r="E30" s="191">
        <f>+E18+E29</f>
        <v>2744193709</v>
      </c>
      <c r="F30" s="741"/>
    </row>
    <row r="31" spans="1:6" ht="13.5" thickBot="1">
      <c r="A31" s="184" t="s">
        <v>66</v>
      </c>
      <c r="B31" s="190" t="s">
        <v>157</v>
      </c>
      <c r="C31" s="191">
        <f>IF(C18-E18&lt;0,E18-C18,"-")</f>
        <v>150678303</v>
      </c>
      <c r="D31" s="190" t="s">
        <v>158</v>
      </c>
      <c r="E31" s="191" t="str">
        <f>IF(C18-E18&gt;0,C18-E18,"-")</f>
        <v>-</v>
      </c>
      <c r="F31" s="741"/>
    </row>
    <row r="32" spans="1:6" ht="13.5" thickBot="1">
      <c r="A32" s="184" t="s">
        <v>67</v>
      </c>
      <c r="B32" s="190" t="s">
        <v>198</v>
      </c>
      <c r="C32" s="191" t="s">
        <v>700</v>
      </c>
      <c r="D32" s="190" t="s">
        <v>199</v>
      </c>
      <c r="E32" s="191">
        <v>107156180</v>
      </c>
      <c r="F32" s="741"/>
    </row>
    <row r="33" spans="2:4" ht="18.75">
      <c r="B33" s="742"/>
      <c r="C33" s="742"/>
      <c r="D33" s="74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11/2017.(III.30.)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9"/>
  <sheetViews>
    <sheetView zoomScaleSheetLayoutView="115" workbookViewId="0" topLeftCell="A1">
      <selection activeCell="B9" sqref="B9"/>
    </sheetView>
  </sheetViews>
  <sheetFormatPr defaultColWidth="9.00390625" defaultRowHeight="12.75"/>
  <cols>
    <col min="1" max="1" width="6.875" style="44" customWidth="1"/>
    <col min="2" max="2" width="55.125" style="94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167" t="s">
        <v>156</v>
      </c>
      <c r="C1" s="168"/>
      <c r="D1" s="168"/>
      <c r="E1" s="168"/>
      <c r="F1" s="741"/>
    </row>
    <row r="2" spans="5:6" ht="14.25" thickBot="1">
      <c r="E2" s="169" t="s">
        <v>687</v>
      </c>
      <c r="F2" s="741"/>
    </row>
    <row r="3" spans="1:6" ht="13.5" thickBot="1">
      <c r="A3" s="743" t="s">
        <v>92</v>
      </c>
      <c r="B3" s="170" t="s">
        <v>79</v>
      </c>
      <c r="C3" s="171"/>
      <c r="D3" s="170" t="s">
        <v>80</v>
      </c>
      <c r="E3" s="172"/>
      <c r="F3" s="741"/>
    </row>
    <row r="4" spans="1:6" s="173" customFormat="1" ht="24.75" thickBot="1">
      <c r="A4" s="744"/>
      <c r="B4" s="95" t="s">
        <v>85</v>
      </c>
      <c r="C4" s="36" t="s">
        <v>652</v>
      </c>
      <c r="D4" s="95" t="s">
        <v>85</v>
      </c>
      <c r="E4" s="36" t="s">
        <v>652</v>
      </c>
      <c r="F4" s="741"/>
    </row>
    <row r="5" spans="1:6" s="173" customFormat="1" ht="13.5" thickBot="1">
      <c r="A5" s="174" t="s">
        <v>512</v>
      </c>
      <c r="B5" s="175" t="s">
        <v>513</v>
      </c>
      <c r="C5" s="176" t="s">
        <v>514</v>
      </c>
      <c r="D5" s="175" t="s">
        <v>567</v>
      </c>
      <c r="E5" s="177" t="s">
        <v>568</v>
      </c>
      <c r="F5" s="741"/>
    </row>
    <row r="6" spans="1:6" ht="12.75" customHeight="1">
      <c r="A6" s="179" t="s">
        <v>41</v>
      </c>
      <c r="B6" s="180" t="s">
        <v>349</v>
      </c>
      <c r="C6" s="646">
        <v>18976576</v>
      </c>
      <c r="D6" s="198" t="s">
        <v>191</v>
      </c>
      <c r="E6" s="53">
        <v>62355363</v>
      </c>
      <c r="F6" s="741"/>
    </row>
    <row r="7" spans="1:6" ht="12.75">
      <c r="A7" s="181" t="s">
        <v>42</v>
      </c>
      <c r="B7" s="182" t="s">
        <v>350</v>
      </c>
      <c r="C7" s="54">
        <v>3797300</v>
      </c>
      <c r="D7" s="187" t="s">
        <v>355</v>
      </c>
      <c r="E7" s="560">
        <v>14492698</v>
      </c>
      <c r="F7" s="741"/>
    </row>
    <row r="8" spans="1:6" ht="12.75" customHeight="1">
      <c r="A8" s="181" t="s">
        <v>43</v>
      </c>
      <c r="B8" s="182" t="s">
        <v>32</v>
      </c>
      <c r="C8" s="54">
        <v>25179000</v>
      </c>
      <c r="D8" s="187" t="s">
        <v>175</v>
      </c>
      <c r="E8" s="55">
        <v>80023393</v>
      </c>
      <c r="F8" s="741"/>
    </row>
    <row r="9" spans="1:6" ht="12.75" customHeight="1">
      <c r="A9" s="181" t="s">
        <v>44</v>
      </c>
      <c r="B9" s="182" t="s">
        <v>351</v>
      </c>
      <c r="C9" s="54"/>
      <c r="D9" s="187" t="s">
        <v>356</v>
      </c>
      <c r="E9" s="488">
        <v>53340000</v>
      </c>
      <c r="F9" s="741"/>
    </row>
    <row r="10" spans="1:6" ht="12.75" customHeight="1">
      <c r="A10" s="181" t="s">
        <v>45</v>
      </c>
      <c r="B10" s="182" t="s">
        <v>352</v>
      </c>
      <c r="C10" s="54"/>
      <c r="D10" s="187" t="s">
        <v>193</v>
      </c>
      <c r="E10" s="55">
        <v>44472000</v>
      </c>
      <c r="F10" s="741"/>
    </row>
    <row r="11" spans="1:6" ht="12.75" customHeight="1">
      <c r="A11" s="181" t="s">
        <v>46</v>
      </c>
      <c r="B11" s="182" t="s">
        <v>353</v>
      </c>
      <c r="C11" s="510"/>
      <c r="D11" s="473"/>
      <c r="E11" s="55"/>
      <c r="F11" s="741"/>
    </row>
    <row r="12" spans="1:6" ht="12.75" customHeight="1">
      <c r="A12" s="181" t="s">
        <v>47</v>
      </c>
      <c r="B12" s="40"/>
      <c r="C12" s="54"/>
      <c r="D12" s="473"/>
      <c r="E12" s="55"/>
      <c r="F12" s="741"/>
    </row>
    <row r="13" spans="1:6" ht="12.75" customHeight="1">
      <c r="A13" s="181" t="s">
        <v>48</v>
      </c>
      <c r="B13" s="40"/>
      <c r="C13" s="54"/>
      <c r="D13" s="473"/>
      <c r="E13" s="55"/>
      <c r="F13" s="741"/>
    </row>
    <row r="14" spans="1:6" ht="12.75" customHeight="1">
      <c r="A14" s="181" t="s">
        <v>49</v>
      </c>
      <c r="B14" s="474"/>
      <c r="C14" s="510"/>
      <c r="D14" s="473"/>
      <c r="E14" s="55"/>
      <c r="F14" s="741"/>
    </row>
    <row r="15" spans="1:6" ht="12.75">
      <c r="A15" s="181" t="s">
        <v>50</v>
      </c>
      <c r="B15" s="40"/>
      <c r="C15" s="510"/>
      <c r="D15" s="473"/>
      <c r="E15" s="55"/>
      <c r="F15" s="741"/>
    </row>
    <row r="16" spans="1:6" ht="12.75" customHeight="1" thickBot="1">
      <c r="A16" s="227" t="s">
        <v>51</v>
      </c>
      <c r="B16" s="252"/>
      <c r="C16" s="647"/>
      <c r="D16" s="186" t="s">
        <v>73</v>
      </c>
      <c r="E16" s="648">
        <v>5400000</v>
      </c>
      <c r="F16" s="741"/>
    </row>
    <row r="17" spans="1:6" ht="15.75" customHeight="1" thickBot="1">
      <c r="A17" s="184" t="s">
        <v>52</v>
      </c>
      <c r="B17" s="87" t="s">
        <v>363</v>
      </c>
      <c r="C17" s="161">
        <f>+C6+C8+C9+C11+C12+C13+C14+C15+C16</f>
        <v>44155576</v>
      </c>
      <c r="D17" s="87" t="s">
        <v>364</v>
      </c>
      <c r="E17" s="165">
        <f>+E6+E8+E10+E11+E12+E13+E14+E15+E16</f>
        <v>192250756</v>
      </c>
      <c r="F17" s="741"/>
    </row>
    <row r="18" spans="1:6" ht="12.75" customHeight="1">
      <c r="A18" s="179" t="s">
        <v>53</v>
      </c>
      <c r="B18" s="194" t="s">
        <v>211</v>
      </c>
      <c r="C18" s="201">
        <f>+C19+C20+C21+C22+C23</f>
        <v>0</v>
      </c>
      <c r="D18" s="187" t="s">
        <v>179</v>
      </c>
      <c r="E18" s="53"/>
      <c r="F18" s="741"/>
    </row>
    <row r="19" spans="1:6" ht="12.75" customHeight="1">
      <c r="A19" s="181" t="s">
        <v>54</v>
      </c>
      <c r="B19" s="195" t="s">
        <v>200</v>
      </c>
      <c r="C19" s="54"/>
      <c r="D19" s="187" t="s">
        <v>182</v>
      </c>
      <c r="E19" s="55"/>
      <c r="F19" s="741"/>
    </row>
    <row r="20" spans="1:6" ht="12.75" customHeight="1">
      <c r="A20" s="179" t="s">
        <v>55</v>
      </c>
      <c r="B20" s="195" t="s">
        <v>201</v>
      </c>
      <c r="C20" s="54"/>
      <c r="D20" s="187" t="s">
        <v>153</v>
      </c>
      <c r="E20" s="55"/>
      <c r="F20" s="741"/>
    </row>
    <row r="21" spans="1:6" ht="12.75" customHeight="1">
      <c r="A21" s="181" t="s">
        <v>56</v>
      </c>
      <c r="B21" s="195" t="s">
        <v>202</v>
      </c>
      <c r="C21" s="54"/>
      <c r="D21" s="187" t="s">
        <v>154</v>
      </c>
      <c r="E21" s="55">
        <v>3161000</v>
      </c>
      <c r="F21" s="741"/>
    </row>
    <row r="22" spans="1:6" ht="12.75" customHeight="1">
      <c r="A22" s="179" t="s">
        <v>57</v>
      </c>
      <c r="B22" s="195" t="s">
        <v>203</v>
      </c>
      <c r="C22" s="54"/>
      <c r="D22" s="186" t="s">
        <v>197</v>
      </c>
      <c r="E22" s="55"/>
      <c r="F22" s="741"/>
    </row>
    <row r="23" spans="1:6" ht="12.75" customHeight="1">
      <c r="A23" s="181" t="s">
        <v>58</v>
      </c>
      <c r="B23" s="196" t="s">
        <v>204</v>
      </c>
      <c r="C23" s="54"/>
      <c r="D23" s="187" t="s">
        <v>183</v>
      </c>
      <c r="E23" s="55"/>
      <c r="F23" s="741"/>
    </row>
    <row r="24" spans="1:6" ht="12.75" customHeight="1">
      <c r="A24" s="179" t="s">
        <v>59</v>
      </c>
      <c r="B24" s="197" t="s">
        <v>205</v>
      </c>
      <c r="C24" s="189">
        <f>+C25+C26+C27+C28+C29</f>
        <v>44100000</v>
      </c>
      <c r="D24" s="198" t="s">
        <v>181</v>
      </c>
      <c r="E24" s="55"/>
      <c r="F24" s="741"/>
    </row>
    <row r="25" spans="1:6" ht="12.75" customHeight="1">
      <c r="A25" s="181" t="s">
        <v>60</v>
      </c>
      <c r="B25" s="196" t="s">
        <v>206</v>
      </c>
      <c r="C25" s="54">
        <v>44100000</v>
      </c>
      <c r="D25" s="198" t="s">
        <v>357</v>
      </c>
      <c r="E25" s="55"/>
      <c r="F25" s="741"/>
    </row>
    <row r="26" spans="1:6" ht="12.75" customHeight="1">
      <c r="A26" s="179" t="s">
        <v>61</v>
      </c>
      <c r="B26" s="196" t="s">
        <v>207</v>
      </c>
      <c r="C26" s="54"/>
      <c r="D26" s="193"/>
      <c r="E26" s="55"/>
      <c r="F26" s="741"/>
    </row>
    <row r="27" spans="1:6" ht="12.75" customHeight="1">
      <c r="A27" s="181" t="s">
        <v>62</v>
      </c>
      <c r="B27" s="195" t="s">
        <v>208</v>
      </c>
      <c r="C27" s="54"/>
      <c r="D27" s="193"/>
      <c r="E27" s="55"/>
      <c r="F27" s="741"/>
    </row>
    <row r="28" spans="1:6" ht="12.75" customHeight="1">
      <c r="A28" s="179" t="s">
        <v>63</v>
      </c>
      <c r="B28" s="199" t="s">
        <v>209</v>
      </c>
      <c r="C28" s="54"/>
      <c r="D28" s="645"/>
      <c r="E28" s="55"/>
      <c r="F28" s="741"/>
    </row>
    <row r="29" spans="1:6" ht="12.75" customHeight="1" thickBot="1">
      <c r="A29" s="181" t="s">
        <v>64</v>
      </c>
      <c r="B29" s="200" t="s">
        <v>210</v>
      </c>
      <c r="C29" s="54"/>
      <c r="D29" s="193"/>
      <c r="E29" s="55"/>
      <c r="F29" s="741"/>
    </row>
    <row r="30" spans="1:6" ht="21.75" customHeight="1" thickBot="1">
      <c r="A30" s="184" t="s">
        <v>65</v>
      </c>
      <c r="B30" s="87" t="s">
        <v>354</v>
      </c>
      <c r="C30" s="161">
        <f>+C18+C24</f>
        <v>44100000</v>
      </c>
      <c r="D30" s="87" t="s">
        <v>358</v>
      </c>
      <c r="E30" s="165">
        <f>SUM(E18:E29)</f>
        <v>3161000</v>
      </c>
      <c r="F30" s="741"/>
    </row>
    <row r="31" spans="1:6" ht="13.5" thickBot="1">
      <c r="A31" s="184" t="s">
        <v>66</v>
      </c>
      <c r="B31" s="190" t="s">
        <v>359</v>
      </c>
      <c r="C31" s="191">
        <f>+C17+C30</f>
        <v>88255576</v>
      </c>
      <c r="D31" s="190" t="s">
        <v>360</v>
      </c>
      <c r="E31" s="191">
        <f>+E17+E30</f>
        <v>195411756</v>
      </c>
      <c r="F31" s="741"/>
    </row>
    <row r="32" spans="1:6" ht="13.5" thickBot="1">
      <c r="A32" s="184" t="s">
        <v>67</v>
      </c>
      <c r="B32" s="190" t="s">
        <v>157</v>
      </c>
      <c r="C32" s="191">
        <f>IF(C17-E17&lt;0,E17-C17,"-")</f>
        <v>148095180</v>
      </c>
      <c r="D32" s="190" t="s">
        <v>158</v>
      </c>
      <c r="E32" s="191" t="str">
        <f>IF(C17-E17&gt;0,C17-E17,"-")</f>
        <v>-</v>
      </c>
      <c r="F32" s="741"/>
    </row>
    <row r="33" spans="1:6" ht="13.5" thickBot="1">
      <c r="A33" s="184" t="s">
        <v>68</v>
      </c>
      <c r="B33" s="190" t="s">
        <v>198</v>
      </c>
      <c r="C33" s="191">
        <v>107156180</v>
      </c>
      <c r="D33" s="190" t="s">
        <v>199</v>
      </c>
      <c r="E33" s="191" t="s">
        <v>700</v>
      </c>
      <c r="F33" s="741"/>
    </row>
    <row r="34" spans="3:5" ht="12.75">
      <c r="C34" s="649"/>
      <c r="D34" s="649"/>
      <c r="E34" s="649"/>
    </row>
    <row r="35" spans="3:5" ht="12.75">
      <c r="C35" s="649"/>
      <c r="D35" s="649"/>
      <c r="E35" s="649"/>
    </row>
    <row r="36" spans="3:5" ht="12.75">
      <c r="C36" s="649"/>
      <c r="D36" s="649"/>
      <c r="E36" s="649"/>
    </row>
    <row r="37" spans="3:5" ht="12.75">
      <c r="C37" s="649"/>
      <c r="D37" s="649"/>
      <c r="E37" s="649"/>
    </row>
    <row r="38" spans="3:5" ht="12.75">
      <c r="C38" s="649"/>
      <c r="D38" s="649"/>
      <c r="E38" s="649"/>
    </row>
    <row r="39" spans="3:5" ht="12.75">
      <c r="C39" s="649"/>
      <c r="D39" s="649"/>
      <c r="E39" s="6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11/2017.(III.30.))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workbookViewId="0" topLeftCell="A1">
      <selection activeCell="A11" sqref="A11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4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745" t="s">
        <v>29</v>
      </c>
      <c r="B1" s="745"/>
      <c r="C1" s="745"/>
      <c r="D1" s="745"/>
      <c r="E1" s="745"/>
      <c r="F1" s="745"/>
    </row>
    <row r="2" spans="1:6" ht="22.5" customHeight="1" thickBot="1">
      <c r="A2" s="94"/>
      <c r="B2" s="44"/>
      <c r="C2" s="44"/>
      <c r="D2" s="44"/>
      <c r="E2" s="44"/>
      <c r="F2" s="42" t="s">
        <v>687</v>
      </c>
    </row>
    <row r="3" spans="1:7" s="39" customFormat="1" ht="44.25" customHeight="1" thickBot="1">
      <c r="A3" s="95" t="s">
        <v>88</v>
      </c>
      <c r="B3" s="96" t="s">
        <v>89</v>
      </c>
      <c r="C3" s="96" t="s">
        <v>90</v>
      </c>
      <c r="D3" s="96" t="s">
        <v>654</v>
      </c>
      <c r="E3" s="96" t="s">
        <v>652</v>
      </c>
      <c r="F3" s="43" t="s">
        <v>655</v>
      </c>
      <c r="G3" s="594"/>
    </row>
    <row r="4" spans="1:6" s="44" customFormat="1" ht="12" customHeight="1" thickBot="1">
      <c r="A4" s="585">
        <v>1</v>
      </c>
      <c r="B4" s="586">
        <v>2</v>
      </c>
      <c r="C4" s="586">
        <v>3</v>
      </c>
      <c r="D4" s="586">
        <v>4</v>
      </c>
      <c r="E4" s="586">
        <v>5</v>
      </c>
      <c r="F4" s="137" t="s">
        <v>105</v>
      </c>
    </row>
    <row r="5" spans="1:6" ht="15.75" customHeight="1">
      <c r="A5" s="579" t="s">
        <v>670</v>
      </c>
      <c r="B5" s="580">
        <v>2176000</v>
      </c>
      <c r="C5" s="581" t="s">
        <v>653</v>
      </c>
      <c r="D5" s="582"/>
      <c r="E5" s="583">
        <v>2176000</v>
      </c>
      <c r="F5" s="584">
        <f aca="true" t="shared" si="0" ref="F5:F60">B5-D5-E5</f>
        <v>0</v>
      </c>
    </row>
    <row r="6" spans="1:6" ht="15.75" customHeight="1">
      <c r="A6" s="534" t="s">
        <v>682</v>
      </c>
      <c r="B6" s="52">
        <v>6246000</v>
      </c>
      <c r="C6" s="279" t="s">
        <v>653</v>
      </c>
      <c r="D6" s="24"/>
      <c r="E6" s="24">
        <v>6246000</v>
      </c>
      <c r="F6" s="45">
        <f t="shared" si="0"/>
        <v>0</v>
      </c>
    </row>
    <row r="7" spans="1:6" ht="15.75" customHeight="1">
      <c r="A7" s="534" t="s">
        <v>671</v>
      </c>
      <c r="B7" s="504">
        <v>2963001</v>
      </c>
      <c r="C7" s="279" t="s">
        <v>653</v>
      </c>
      <c r="D7" s="24"/>
      <c r="E7" s="505">
        <v>2963001</v>
      </c>
      <c r="F7" s="45">
        <f t="shared" si="0"/>
        <v>0</v>
      </c>
    </row>
    <row r="8" spans="1:6" ht="15.75" customHeight="1">
      <c r="A8" s="592" t="s">
        <v>672</v>
      </c>
      <c r="B8" s="52">
        <v>14492698</v>
      </c>
      <c r="C8" s="279" t="s">
        <v>653</v>
      </c>
      <c r="D8" s="24"/>
      <c r="E8" s="24">
        <v>14492698</v>
      </c>
      <c r="F8" s="45">
        <f t="shared" si="0"/>
        <v>0</v>
      </c>
    </row>
    <row r="9" spans="1:6" ht="15.75" customHeight="1">
      <c r="A9" s="706" t="s">
        <v>669</v>
      </c>
      <c r="B9" s="504">
        <v>300001</v>
      </c>
      <c r="C9" s="279" t="s">
        <v>653</v>
      </c>
      <c r="D9" s="505"/>
      <c r="E9" s="505">
        <v>300001</v>
      </c>
      <c r="F9" s="45">
        <f t="shared" si="0"/>
        <v>0</v>
      </c>
    </row>
    <row r="10" spans="1:6" ht="25.5" customHeight="1">
      <c r="A10" s="592" t="s">
        <v>673</v>
      </c>
      <c r="B10" s="456">
        <v>529000</v>
      </c>
      <c r="C10" s="279" t="s">
        <v>653</v>
      </c>
      <c r="D10" s="453"/>
      <c r="E10" s="453">
        <v>529000</v>
      </c>
      <c r="F10" s="45">
        <f t="shared" si="0"/>
        <v>0</v>
      </c>
    </row>
    <row r="11" spans="1:6" ht="15.75" customHeight="1">
      <c r="A11" s="593" t="s">
        <v>678</v>
      </c>
      <c r="B11" s="457">
        <v>828000</v>
      </c>
      <c r="C11" s="279" t="s">
        <v>653</v>
      </c>
      <c r="D11" s="447"/>
      <c r="E11" s="447">
        <v>828000</v>
      </c>
      <c r="F11" s="45">
        <f t="shared" si="0"/>
        <v>0</v>
      </c>
    </row>
    <row r="12" spans="1:6" ht="18.75" customHeight="1">
      <c r="A12" s="534" t="s">
        <v>630</v>
      </c>
      <c r="B12" s="504">
        <v>762000</v>
      </c>
      <c r="C12" s="279" t="s">
        <v>653</v>
      </c>
      <c r="D12" s="489"/>
      <c r="E12" s="505">
        <v>762000</v>
      </c>
      <c r="F12" s="45">
        <f t="shared" si="0"/>
        <v>0</v>
      </c>
    </row>
    <row r="13" spans="1:6" ht="15.75" customHeight="1">
      <c r="A13" s="534" t="s">
        <v>679</v>
      </c>
      <c r="B13" s="52">
        <v>375000</v>
      </c>
      <c r="C13" s="279" t="s">
        <v>653</v>
      </c>
      <c r="D13" s="483"/>
      <c r="E13" s="24">
        <v>375000</v>
      </c>
      <c r="F13" s="45">
        <f t="shared" si="0"/>
        <v>0</v>
      </c>
    </row>
    <row r="14" spans="1:6" ht="15.75" customHeight="1">
      <c r="A14" s="534" t="s">
        <v>680</v>
      </c>
      <c r="B14" s="52">
        <v>136000</v>
      </c>
      <c r="C14" s="279" t="s">
        <v>653</v>
      </c>
      <c r="D14" s="24"/>
      <c r="E14" s="24">
        <v>136000</v>
      </c>
      <c r="F14" s="45">
        <f t="shared" si="0"/>
        <v>0</v>
      </c>
    </row>
    <row r="15" spans="1:6" ht="15.75" customHeight="1">
      <c r="A15" s="534" t="s">
        <v>681</v>
      </c>
      <c r="B15" s="52">
        <v>90200</v>
      </c>
      <c r="C15" s="279" t="s">
        <v>653</v>
      </c>
      <c r="D15" s="24"/>
      <c r="E15" s="24">
        <v>90200</v>
      </c>
      <c r="F15" s="45">
        <f t="shared" si="0"/>
        <v>0</v>
      </c>
    </row>
    <row r="16" spans="1:6" ht="15.75" customHeight="1">
      <c r="A16" s="535" t="s">
        <v>631</v>
      </c>
      <c r="B16" s="52">
        <v>436000</v>
      </c>
      <c r="C16" s="279" t="s">
        <v>653</v>
      </c>
      <c r="D16" s="24"/>
      <c r="E16" s="24">
        <v>436000</v>
      </c>
      <c r="F16" s="45">
        <f t="shared" si="0"/>
        <v>0</v>
      </c>
    </row>
    <row r="17" spans="1:6" ht="15.75" customHeight="1">
      <c r="A17" s="534" t="s">
        <v>8</v>
      </c>
      <c r="B17" s="52">
        <v>6604000</v>
      </c>
      <c r="C17" s="279" t="s">
        <v>653</v>
      </c>
      <c r="D17" s="24"/>
      <c r="E17" s="24">
        <v>6604000</v>
      </c>
      <c r="F17" s="45">
        <f t="shared" si="0"/>
        <v>0</v>
      </c>
    </row>
    <row r="18" spans="1:6" ht="15.75" customHeight="1">
      <c r="A18" s="536" t="s">
        <v>9</v>
      </c>
      <c r="B18" s="52">
        <v>301000</v>
      </c>
      <c r="C18" s="279" t="s">
        <v>653</v>
      </c>
      <c r="D18" s="24"/>
      <c r="E18" s="24">
        <v>301000</v>
      </c>
      <c r="F18" s="45">
        <f t="shared" si="0"/>
        <v>0</v>
      </c>
    </row>
    <row r="19" spans="1:6" ht="15.75" customHeight="1">
      <c r="A19" s="536" t="s">
        <v>10</v>
      </c>
      <c r="B19" s="52">
        <v>127000</v>
      </c>
      <c r="C19" s="279" t="s">
        <v>653</v>
      </c>
      <c r="D19" s="24"/>
      <c r="E19" s="24">
        <v>127000</v>
      </c>
      <c r="F19" s="45">
        <f t="shared" si="0"/>
        <v>0</v>
      </c>
    </row>
    <row r="20" spans="1:6" ht="15.75" customHeight="1" thickBot="1">
      <c r="A20" s="663" t="s">
        <v>11</v>
      </c>
      <c r="B20" s="664">
        <v>77000</v>
      </c>
      <c r="C20" s="665" t="s">
        <v>653</v>
      </c>
      <c r="D20" s="666"/>
      <c r="E20" s="666">
        <v>77000</v>
      </c>
      <c r="F20" s="667">
        <f t="shared" si="0"/>
        <v>0</v>
      </c>
    </row>
    <row r="21" spans="1:6" ht="15.75" customHeight="1">
      <c r="A21" s="672" t="s">
        <v>731</v>
      </c>
      <c r="B21" s="673">
        <v>200000</v>
      </c>
      <c r="C21" s="674" t="s">
        <v>653</v>
      </c>
      <c r="D21" s="673"/>
      <c r="E21" s="673">
        <v>200000</v>
      </c>
      <c r="F21" s="677">
        <f t="shared" si="0"/>
        <v>0</v>
      </c>
    </row>
    <row r="22" spans="1:6" ht="15.75" customHeight="1">
      <c r="A22" s="675" t="s">
        <v>732</v>
      </c>
      <c r="B22" s="24">
        <v>150000</v>
      </c>
      <c r="C22" s="279" t="s">
        <v>653</v>
      </c>
      <c r="D22" s="24"/>
      <c r="E22" s="24">
        <v>150000</v>
      </c>
      <c r="F22" s="667">
        <f t="shared" si="0"/>
        <v>0</v>
      </c>
    </row>
    <row r="23" spans="1:6" ht="15.75" customHeight="1">
      <c r="A23" s="675" t="s">
        <v>733</v>
      </c>
      <c r="B23" s="24">
        <v>500000</v>
      </c>
      <c r="C23" s="279" t="s">
        <v>653</v>
      </c>
      <c r="D23" s="24"/>
      <c r="E23" s="24">
        <v>500000</v>
      </c>
      <c r="F23" s="667">
        <f t="shared" si="0"/>
        <v>0</v>
      </c>
    </row>
    <row r="24" spans="1:6" ht="15.75" customHeight="1">
      <c r="A24" s="675" t="s">
        <v>734</v>
      </c>
      <c r="B24" s="24">
        <v>300000</v>
      </c>
      <c r="C24" s="279" t="s">
        <v>653</v>
      </c>
      <c r="D24" s="24"/>
      <c r="E24" s="24">
        <v>300000</v>
      </c>
      <c r="F24" s="667">
        <f t="shared" si="0"/>
        <v>0</v>
      </c>
    </row>
    <row r="25" spans="1:6" ht="15.75" customHeight="1">
      <c r="A25" s="675" t="s">
        <v>735</v>
      </c>
      <c r="B25" s="24">
        <v>150000</v>
      </c>
      <c r="C25" s="279" t="s">
        <v>653</v>
      </c>
      <c r="D25" s="24"/>
      <c r="E25" s="24">
        <v>150000</v>
      </c>
      <c r="F25" s="667">
        <f t="shared" si="0"/>
        <v>0</v>
      </c>
    </row>
    <row r="26" spans="1:6" ht="15.75" customHeight="1">
      <c r="A26" s="675" t="s">
        <v>736</v>
      </c>
      <c r="B26" s="24">
        <v>71000</v>
      </c>
      <c r="C26" s="279" t="s">
        <v>653</v>
      </c>
      <c r="D26" s="24"/>
      <c r="E26" s="24">
        <v>71000</v>
      </c>
      <c r="F26" s="667">
        <f t="shared" si="0"/>
        <v>0</v>
      </c>
    </row>
    <row r="27" spans="1:6" ht="15.75" customHeight="1">
      <c r="A27" s="675" t="s">
        <v>737</v>
      </c>
      <c r="B27" s="24">
        <v>280000</v>
      </c>
      <c r="C27" s="279" t="s">
        <v>653</v>
      </c>
      <c r="D27" s="24"/>
      <c r="E27" s="24">
        <v>280000</v>
      </c>
      <c r="F27" s="667">
        <f t="shared" si="0"/>
        <v>0</v>
      </c>
    </row>
    <row r="28" spans="1:6" ht="15.75" customHeight="1">
      <c r="A28" s="675" t="s">
        <v>738</v>
      </c>
      <c r="B28" s="24">
        <v>150000</v>
      </c>
      <c r="C28" s="279" t="s">
        <v>653</v>
      </c>
      <c r="D28" s="24"/>
      <c r="E28" s="24">
        <v>150000</v>
      </c>
      <c r="F28" s="667">
        <f t="shared" si="0"/>
        <v>0</v>
      </c>
    </row>
    <row r="29" spans="1:6" ht="15.75" customHeight="1" thickBot="1">
      <c r="A29" s="676" t="s">
        <v>739</v>
      </c>
      <c r="B29" s="669">
        <v>100000</v>
      </c>
      <c r="C29" s="668" t="s">
        <v>653</v>
      </c>
      <c r="D29" s="669"/>
      <c r="E29" s="669">
        <v>100000</v>
      </c>
      <c r="F29" s="670">
        <f t="shared" si="0"/>
        <v>0</v>
      </c>
    </row>
    <row r="30" spans="1:6" ht="18.75" customHeight="1">
      <c r="A30" s="579" t="s">
        <v>701</v>
      </c>
      <c r="B30" s="580">
        <v>150000</v>
      </c>
      <c r="C30" s="581" t="s">
        <v>653</v>
      </c>
      <c r="D30" s="582"/>
      <c r="E30" s="583">
        <v>150000</v>
      </c>
      <c r="F30" s="671">
        <f t="shared" si="0"/>
        <v>0</v>
      </c>
    </row>
    <row r="31" spans="1:6" ht="17.25" customHeight="1">
      <c r="A31" s="534" t="s">
        <v>702</v>
      </c>
      <c r="B31" s="52">
        <v>400000</v>
      </c>
      <c r="C31" s="279" t="s">
        <v>653</v>
      </c>
      <c r="D31" s="24"/>
      <c r="E31" s="24">
        <v>400000</v>
      </c>
      <c r="F31" s="667">
        <f t="shared" si="0"/>
        <v>0</v>
      </c>
    </row>
    <row r="32" spans="1:6" ht="21.75" customHeight="1">
      <c r="A32" s="534" t="s">
        <v>703</v>
      </c>
      <c r="B32" s="504">
        <v>130000</v>
      </c>
      <c r="C32" s="279" t="s">
        <v>653</v>
      </c>
      <c r="D32" s="24"/>
      <c r="E32" s="505">
        <v>130000</v>
      </c>
      <c r="F32" s="667">
        <f t="shared" si="0"/>
        <v>0</v>
      </c>
    </row>
    <row r="33" spans="1:6" ht="20.25" customHeight="1">
      <c r="A33" s="650" t="s">
        <v>704</v>
      </c>
      <c r="B33" s="52">
        <v>600075</v>
      </c>
      <c r="C33" s="279" t="s">
        <v>653</v>
      </c>
      <c r="D33" s="24"/>
      <c r="E33" s="24">
        <v>600075</v>
      </c>
      <c r="F33" s="667">
        <f t="shared" si="0"/>
        <v>0</v>
      </c>
    </row>
    <row r="34" spans="1:6" ht="20.25" customHeight="1">
      <c r="A34" s="651" t="s">
        <v>705</v>
      </c>
      <c r="B34" s="504">
        <v>40000</v>
      </c>
      <c r="C34" s="279" t="s">
        <v>653</v>
      </c>
      <c r="D34" s="652"/>
      <c r="E34" s="505">
        <v>40000</v>
      </c>
      <c r="F34" s="667">
        <f t="shared" si="0"/>
        <v>0</v>
      </c>
    </row>
    <row r="35" spans="1:6" ht="27" customHeight="1">
      <c r="A35" s="535" t="s">
        <v>706</v>
      </c>
      <c r="B35" s="456">
        <v>114298</v>
      </c>
      <c r="C35" s="279" t="s">
        <v>653</v>
      </c>
      <c r="D35" s="653"/>
      <c r="E35" s="453">
        <v>114298</v>
      </c>
      <c r="F35" s="667">
        <f t="shared" si="0"/>
        <v>0</v>
      </c>
    </row>
    <row r="36" spans="1:6" ht="20.25" customHeight="1">
      <c r="A36" s="654" t="s">
        <v>707</v>
      </c>
      <c r="B36" s="457">
        <v>456000</v>
      </c>
      <c r="C36" s="279" t="s">
        <v>653</v>
      </c>
      <c r="D36" s="655"/>
      <c r="E36" s="447">
        <v>456000</v>
      </c>
      <c r="F36" s="667">
        <f t="shared" si="0"/>
        <v>0</v>
      </c>
    </row>
    <row r="37" spans="1:6" ht="20.25" customHeight="1">
      <c r="A37" s="656" t="s">
        <v>708</v>
      </c>
      <c r="B37" s="504">
        <v>200000</v>
      </c>
      <c r="C37" s="279" t="s">
        <v>653</v>
      </c>
      <c r="D37" s="657"/>
      <c r="E37" s="505">
        <v>200000</v>
      </c>
      <c r="F37" s="667">
        <f t="shared" si="0"/>
        <v>0</v>
      </c>
    </row>
    <row r="38" spans="1:6" ht="20.25" customHeight="1">
      <c r="A38" s="534" t="s">
        <v>709</v>
      </c>
      <c r="B38" s="52">
        <v>86000</v>
      </c>
      <c r="C38" s="279" t="s">
        <v>653</v>
      </c>
      <c r="D38" s="658"/>
      <c r="E38" s="24">
        <v>86000</v>
      </c>
      <c r="F38" s="667">
        <f t="shared" si="0"/>
        <v>0</v>
      </c>
    </row>
    <row r="39" spans="1:6" ht="20.25" customHeight="1">
      <c r="A39" s="534" t="s">
        <v>710</v>
      </c>
      <c r="B39" s="52">
        <v>30000</v>
      </c>
      <c r="C39" s="279" t="s">
        <v>653</v>
      </c>
      <c r="D39" s="659"/>
      <c r="E39" s="24">
        <v>30000</v>
      </c>
      <c r="F39" s="667">
        <f t="shared" si="0"/>
        <v>0</v>
      </c>
    </row>
    <row r="40" spans="1:6" ht="24.75" customHeight="1">
      <c r="A40" s="534" t="s">
        <v>711</v>
      </c>
      <c r="B40" s="52">
        <v>100000</v>
      </c>
      <c r="C40" s="279" t="s">
        <v>653</v>
      </c>
      <c r="D40" s="659"/>
      <c r="E40" s="24">
        <v>100000</v>
      </c>
      <c r="F40" s="667">
        <f t="shared" si="0"/>
        <v>0</v>
      </c>
    </row>
    <row r="41" spans="1:6" ht="20.25" customHeight="1">
      <c r="A41" s="535" t="s">
        <v>712</v>
      </c>
      <c r="B41" s="52">
        <v>250000</v>
      </c>
      <c r="C41" s="279" t="s">
        <v>653</v>
      </c>
      <c r="D41" s="659"/>
      <c r="E41" s="24">
        <v>250000</v>
      </c>
      <c r="F41" s="667">
        <f t="shared" si="0"/>
        <v>0</v>
      </c>
    </row>
    <row r="42" spans="1:6" ht="22.5" customHeight="1">
      <c r="A42" s="536" t="s">
        <v>713</v>
      </c>
      <c r="B42" s="52">
        <v>381000</v>
      </c>
      <c r="C42" s="279" t="s">
        <v>653</v>
      </c>
      <c r="D42" s="659"/>
      <c r="E42" s="24">
        <v>381000</v>
      </c>
      <c r="F42" s="667">
        <f t="shared" si="0"/>
        <v>0</v>
      </c>
    </row>
    <row r="43" spans="1:6" ht="24.75" customHeight="1">
      <c r="A43" s="536" t="s">
        <v>714</v>
      </c>
      <c r="B43" s="52">
        <v>139700</v>
      </c>
      <c r="C43" s="279" t="s">
        <v>653</v>
      </c>
      <c r="D43" s="659"/>
      <c r="E43" s="24">
        <v>139700</v>
      </c>
      <c r="F43" s="667">
        <f t="shared" si="0"/>
        <v>0</v>
      </c>
    </row>
    <row r="44" spans="1:6" ht="20.25" customHeight="1">
      <c r="A44" s="536" t="s">
        <v>715</v>
      </c>
      <c r="B44" s="52">
        <v>40000</v>
      </c>
      <c r="C44" s="279" t="s">
        <v>653</v>
      </c>
      <c r="D44" s="659"/>
      <c r="E44" s="24">
        <v>40000</v>
      </c>
      <c r="F44" s="667">
        <f t="shared" si="0"/>
        <v>0</v>
      </c>
    </row>
    <row r="45" spans="1:6" ht="20.25" customHeight="1">
      <c r="A45" s="707" t="s">
        <v>716</v>
      </c>
      <c r="B45" s="52">
        <v>12000</v>
      </c>
      <c r="C45" s="279" t="s">
        <v>653</v>
      </c>
      <c r="D45" s="659"/>
      <c r="E45" s="24">
        <v>12000</v>
      </c>
      <c r="F45" s="667">
        <f t="shared" si="0"/>
        <v>0</v>
      </c>
    </row>
    <row r="46" spans="1:6" ht="24" customHeight="1">
      <c r="A46" s="707" t="s">
        <v>717</v>
      </c>
      <c r="B46" s="52">
        <v>52500</v>
      </c>
      <c r="C46" s="279" t="s">
        <v>653</v>
      </c>
      <c r="D46" s="659"/>
      <c r="E46" s="24">
        <v>52500</v>
      </c>
      <c r="F46" s="667">
        <f t="shared" si="0"/>
        <v>0</v>
      </c>
    </row>
    <row r="47" spans="1:6" ht="25.5" customHeight="1">
      <c r="A47" s="707" t="s">
        <v>718</v>
      </c>
      <c r="B47" s="52">
        <v>100000</v>
      </c>
      <c r="C47" s="279" t="s">
        <v>653</v>
      </c>
      <c r="D47" s="659"/>
      <c r="E47" s="24">
        <v>100000</v>
      </c>
      <c r="F47" s="667">
        <f t="shared" si="0"/>
        <v>0</v>
      </c>
    </row>
    <row r="48" spans="1:6" ht="18.75" customHeight="1">
      <c r="A48" s="707" t="s">
        <v>719</v>
      </c>
      <c r="B48" s="52">
        <v>60000</v>
      </c>
      <c r="C48" s="279" t="s">
        <v>653</v>
      </c>
      <c r="D48" s="659"/>
      <c r="E48" s="24">
        <v>60000</v>
      </c>
      <c r="F48" s="667">
        <f t="shared" si="0"/>
        <v>0</v>
      </c>
    </row>
    <row r="49" spans="1:6" ht="21" customHeight="1">
      <c r="A49" s="534" t="s">
        <v>720</v>
      </c>
      <c r="B49" s="52">
        <v>1860454</v>
      </c>
      <c r="C49" s="279" t="s">
        <v>653</v>
      </c>
      <c r="D49" s="659"/>
      <c r="E49" s="24">
        <v>1860454</v>
      </c>
      <c r="F49" s="667">
        <f t="shared" si="0"/>
        <v>0</v>
      </c>
    </row>
    <row r="50" spans="1:6" ht="21" customHeight="1">
      <c r="A50" s="537" t="s">
        <v>721</v>
      </c>
      <c r="B50" s="52">
        <v>30000</v>
      </c>
      <c r="C50" s="279" t="s">
        <v>653</v>
      </c>
      <c r="D50" s="659"/>
      <c r="E50" s="24">
        <v>30000</v>
      </c>
      <c r="F50" s="667">
        <f t="shared" si="0"/>
        <v>0</v>
      </c>
    </row>
    <row r="51" spans="1:6" ht="21" customHeight="1">
      <c r="A51" s="708" t="s">
        <v>722</v>
      </c>
      <c r="B51" s="52">
        <v>300000</v>
      </c>
      <c r="C51" s="279" t="s">
        <v>653</v>
      </c>
      <c r="D51" s="659"/>
      <c r="E51" s="24">
        <v>300000</v>
      </c>
      <c r="F51" s="667">
        <f t="shared" si="0"/>
        <v>0</v>
      </c>
    </row>
    <row r="52" spans="1:6" ht="21" customHeight="1">
      <c r="A52" s="708" t="s">
        <v>723</v>
      </c>
      <c r="B52" s="504">
        <v>150000</v>
      </c>
      <c r="C52" s="279" t="s">
        <v>653</v>
      </c>
      <c r="D52" s="652"/>
      <c r="E52" s="505">
        <v>150000</v>
      </c>
      <c r="F52" s="667">
        <f t="shared" si="0"/>
        <v>0</v>
      </c>
    </row>
    <row r="53" spans="1:6" ht="21" customHeight="1">
      <c r="A53" s="708" t="s">
        <v>724</v>
      </c>
      <c r="B53" s="504">
        <v>495300</v>
      </c>
      <c r="C53" s="279" t="s">
        <v>653</v>
      </c>
      <c r="D53" s="652"/>
      <c r="E53" s="505">
        <v>495300</v>
      </c>
      <c r="F53" s="667">
        <f t="shared" si="0"/>
        <v>0</v>
      </c>
    </row>
    <row r="54" spans="1:6" ht="21" customHeight="1">
      <c r="A54" s="708" t="s">
        <v>725</v>
      </c>
      <c r="B54" s="504">
        <v>1929960</v>
      </c>
      <c r="C54" s="279" t="s">
        <v>653</v>
      </c>
      <c r="D54" s="652"/>
      <c r="E54" s="505">
        <v>1929960</v>
      </c>
      <c r="F54" s="667">
        <f t="shared" si="0"/>
        <v>0</v>
      </c>
    </row>
    <row r="55" spans="1:6" ht="21" customHeight="1">
      <c r="A55" s="708" t="s">
        <v>726</v>
      </c>
      <c r="B55" s="504">
        <v>200000</v>
      </c>
      <c r="C55" s="279" t="s">
        <v>653</v>
      </c>
      <c r="D55" s="652"/>
      <c r="E55" s="505">
        <v>200000</v>
      </c>
      <c r="F55" s="667">
        <f t="shared" si="0"/>
        <v>0</v>
      </c>
    </row>
    <row r="56" spans="1:6" ht="21" customHeight="1">
      <c r="A56" s="708" t="s">
        <v>727</v>
      </c>
      <c r="B56" s="504">
        <v>50000</v>
      </c>
      <c r="C56" s="279" t="s">
        <v>653</v>
      </c>
      <c r="D56" s="652"/>
      <c r="E56" s="505">
        <v>50000</v>
      </c>
      <c r="F56" s="667">
        <f t="shared" si="0"/>
        <v>0</v>
      </c>
    </row>
    <row r="57" spans="1:6" ht="21" customHeight="1">
      <c r="A57" s="660" t="s">
        <v>728</v>
      </c>
      <c r="B57" s="504">
        <v>30000</v>
      </c>
      <c r="C57" s="279" t="s">
        <v>653</v>
      </c>
      <c r="D57" s="652"/>
      <c r="E57" s="505">
        <v>30000</v>
      </c>
      <c r="F57" s="667">
        <f t="shared" si="0"/>
        <v>0</v>
      </c>
    </row>
    <row r="58" spans="1:6" ht="21" customHeight="1">
      <c r="A58" s="661" t="s">
        <v>729</v>
      </c>
      <c r="B58" s="504">
        <v>35000</v>
      </c>
      <c r="C58" s="279" t="s">
        <v>653</v>
      </c>
      <c r="D58" s="657"/>
      <c r="E58" s="505">
        <v>35000</v>
      </c>
      <c r="F58" s="667">
        <f t="shared" si="0"/>
        <v>0</v>
      </c>
    </row>
    <row r="59" spans="1:6" ht="21" customHeight="1">
      <c r="A59" s="662" t="s">
        <v>730</v>
      </c>
      <c r="B59" s="504">
        <v>350000</v>
      </c>
      <c r="C59" s="279" t="s">
        <v>653</v>
      </c>
      <c r="D59" s="652"/>
      <c r="E59" s="505">
        <v>350000</v>
      </c>
      <c r="F59" s="667">
        <f t="shared" si="0"/>
        <v>0</v>
      </c>
    </row>
    <row r="60" spans="1:6" ht="21" customHeight="1">
      <c r="A60" s="709" t="s">
        <v>741</v>
      </c>
      <c r="B60" s="703">
        <v>681000</v>
      </c>
      <c r="C60" s="665" t="s">
        <v>653</v>
      </c>
      <c r="D60" s="704"/>
      <c r="E60" s="705">
        <v>681000</v>
      </c>
      <c r="F60" s="667">
        <f t="shared" si="0"/>
        <v>0</v>
      </c>
    </row>
    <row r="61" spans="1:6" ht="21" customHeight="1">
      <c r="A61" s="709" t="s">
        <v>742</v>
      </c>
      <c r="B61" s="703">
        <v>5038564</v>
      </c>
      <c r="C61" s="665" t="s">
        <v>653</v>
      </c>
      <c r="D61" s="704"/>
      <c r="E61" s="705">
        <v>5038564</v>
      </c>
      <c r="F61" s="667"/>
    </row>
    <row r="62" spans="1:6" ht="21" customHeight="1">
      <c r="A62" s="709" t="s">
        <v>1</v>
      </c>
      <c r="B62" s="703">
        <v>5757100</v>
      </c>
      <c r="C62" s="665" t="s">
        <v>653</v>
      </c>
      <c r="D62" s="704"/>
      <c r="E62" s="705">
        <v>5757100</v>
      </c>
      <c r="F62" s="667"/>
    </row>
    <row r="63" spans="1:6" ht="21" customHeight="1">
      <c r="A63" s="709" t="s">
        <v>743</v>
      </c>
      <c r="B63" s="703">
        <v>1872399</v>
      </c>
      <c r="C63" s="665" t="s">
        <v>653</v>
      </c>
      <c r="D63" s="704"/>
      <c r="E63" s="705">
        <v>1872399</v>
      </c>
      <c r="F63" s="667"/>
    </row>
    <row r="64" spans="1:6" ht="21" customHeight="1">
      <c r="A64" s="709" t="s">
        <v>744</v>
      </c>
      <c r="B64" s="703">
        <v>340001</v>
      </c>
      <c r="C64" s="665" t="s">
        <v>653</v>
      </c>
      <c r="D64" s="704"/>
      <c r="E64" s="705">
        <v>340001</v>
      </c>
      <c r="F64" s="667"/>
    </row>
    <row r="65" spans="1:6" ht="21" customHeight="1">
      <c r="A65" s="709" t="s">
        <v>745</v>
      </c>
      <c r="B65" s="703">
        <v>1203001</v>
      </c>
      <c r="C65" s="665" t="s">
        <v>653</v>
      </c>
      <c r="D65" s="704"/>
      <c r="E65" s="705">
        <v>1203001</v>
      </c>
      <c r="F65" s="667"/>
    </row>
    <row r="66" spans="1:6" ht="21" customHeight="1">
      <c r="A66" s="709" t="s">
        <v>0</v>
      </c>
      <c r="B66" s="703">
        <v>287211</v>
      </c>
      <c r="C66" s="665" t="s">
        <v>653</v>
      </c>
      <c r="D66" s="704"/>
      <c r="E66" s="705">
        <v>287211</v>
      </c>
      <c r="F66" s="667"/>
    </row>
    <row r="67" spans="1:6" ht="21" customHeight="1" thickBot="1">
      <c r="A67" s="662" t="s">
        <v>2</v>
      </c>
      <c r="B67" s="703">
        <v>59900</v>
      </c>
      <c r="C67" s="665" t="s">
        <v>653</v>
      </c>
      <c r="D67" s="704"/>
      <c r="E67" s="705">
        <v>59900</v>
      </c>
      <c r="F67" s="667"/>
    </row>
    <row r="68" spans="1:6" s="47" customFormat="1" ht="18" customHeight="1" thickBot="1">
      <c r="A68" s="97" t="s">
        <v>87</v>
      </c>
      <c r="B68" s="529">
        <f>SUM(B5:B67)</f>
        <v>62355363</v>
      </c>
      <c r="C68" s="530"/>
      <c r="D68" s="529">
        <f>SUM(D5:D67)</f>
        <v>0</v>
      </c>
      <c r="E68" s="529">
        <f>SUM(E5:E67)</f>
        <v>62355363</v>
      </c>
      <c r="F68" s="531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2" r:id="rId1"/>
  <headerFooter alignWithMargins="0">
    <oddHeader>&amp;R&amp;"Times New Roman CE,Félkövér dőlt"&amp;11 7. melléklet a 11/2017.(III.30.) 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workbookViewId="0" topLeftCell="A1">
      <selection activeCell="C30" sqref="C30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745" t="s">
        <v>30</v>
      </c>
      <c r="B1" s="745"/>
      <c r="C1" s="745"/>
      <c r="D1" s="745"/>
      <c r="E1" s="745"/>
      <c r="F1" s="745"/>
    </row>
    <row r="2" spans="1:6" ht="23.25" customHeight="1" thickBot="1">
      <c r="A2" s="94"/>
      <c r="B2" s="44"/>
      <c r="C2" s="44"/>
      <c r="D2" s="44"/>
      <c r="E2" s="44"/>
      <c r="F2" s="42" t="s">
        <v>687</v>
      </c>
    </row>
    <row r="3" spans="1:7" s="39" customFormat="1" ht="48.75" customHeight="1" thickBot="1">
      <c r="A3" s="95" t="s">
        <v>91</v>
      </c>
      <c r="B3" s="96" t="s">
        <v>89</v>
      </c>
      <c r="C3" s="96" t="s">
        <v>90</v>
      </c>
      <c r="D3" s="96" t="s">
        <v>654</v>
      </c>
      <c r="E3" s="96" t="s">
        <v>652</v>
      </c>
      <c r="F3" s="43" t="s">
        <v>656</v>
      </c>
      <c r="G3" s="595"/>
    </row>
    <row r="4" spans="1:6" s="44" customFormat="1" ht="15" customHeight="1" thickBot="1">
      <c r="A4" s="678">
        <v>1</v>
      </c>
      <c r="B4" s="679">
        <v>2</v>
      </c>
      <c r="C4" s="679">
        <v>3</v>
      </c>
      <c r="D4" s="679">
        <v>4</v>
      </c>
      <c r="E4" s="679">
        <v>5</v>
      </c>
      <c r="F4" s="680">
        <v>6</v>
      </c>
    </row>
    <row r="5" spans="1:6" ht="15.75" customHeight="1">
      <c r="A5" s="684" t="s">
        <v>672</v>
      </c>
      <c r="B5" s="673">
        <v>53340000</v>
      </c>
      <c r="C5" s="674" t="s">
        <v>653</v>
      </c>
      <c r="D5" s="673"/>
      <c r="E5" s="673">
        <v>53340000</v>
      </c>
      <c r="F5" s="685">
        <f>B5-D5-E5</f>
        <v>0</v>
      </c>
    </row>
    <row r="6" spans="1:6" ht="15.75" customHeight="1">
      <c r="A6" s="686" t="s">
        <v>669</v>
      </c>
      <c r="B6" s="447">
        <v>21000000</v>
      </c>
      <c r="C6" s="451" t="s">
        <v>653</v>
      </c>
      <c r="D6" s="447"/>
      <c r="E6" s="24">
        <v>21000000</v>
      </c>
      <c r="F6" s="49">
        <f aca="true" t="shared" si="0" ref="F6:F26">B6-D6-E6</f>
        <v>0</v>
      </c>
    </row>
    <row r="7" spans="1:6" ht="15.75" customHeight="1">
      <c r="A7" s="588" t="s">
        <v>674</v>
      </c>
      <c r="B7" s="447">
        <v>762000</v>
      </c>
      <c r="C7" s="451" t="s">
        <v>653</v>
      </c>
      <c r="D7" s="447"/>
      <c r="E7" s="447">
        <v>762000</v>
      </c>
      <c r="F7" s="49">
        <f t="shared" si="0"/>
        <v>0</v>
      </c>
    </row>
    <row r="8" spans="1:6" ht="15.75" customHeight="1">
      <c r="A8" s="588" t="s">
        <v>675</v>
      </c>
      <c r="B8" s="447">
        <v>751000</v>
      </c>
      <c r="C8" s="451" t="s">
        <v>653</v>
      </c>
      <c r="D8" s="447"/>
      <c r="E8" s="24">
        <v>751000</v>
      </c>
      <c r="F8" s="49">
        <f t="shared" si="0"/>
        <v>0</v>
      </c>
    </row>
    <row r="9" spans="1:6" ht="15.75" customHeight="1">
      <c r="A9" s="588" t="s">
        <v>676</v>
      </c>
      <c r="B9" s="447">
        <v>3360000</v>
      </c>
      <c r="C9" s="451" t="s">
        <v>653</v>
      </c>
      <c r="D9" s="447"/>
      <c r="E9" s="447">
        <v>3360000</v>
      </c>
      <c r="F9" s="49">
        <f t="shared" si="0"/>
        <v>0</v>
      </c>
    </row>
    <row r="10" spans="1:6" ht="15.75" customHeight="1">
      <c r="A10" s="589" t="s">
        <v>677</v>
      </c>
      <c r="B10" s="48">
        <v>445000</v>
      </c>
      <c r="C10" s="451" t="s">
        <v>653</v>
      </c>
      <c r="D10" s="48"/>
      <c r="E10" s="48">
        <v>445000</v>
      </c>
      <c r="F10" s="49">
        <f t="shared" si="0"/>
        <v>0</v>
      </c>
    </row>
    <row r="11" spans="1:6" ht="15.75" customHeight="1">
      <c r="A11" s="687" t="s">
        <v>740</v>
      </c>
      <c r="B11" s="24">
        <f>500000-134607</f>
        <v>365393</v>
      </c>
      <c r="C11" s="279" t="s">
        <v>653</v>
      </c>
      <c r="D11" s="24"/>
      <c r="E11" s="24">
        <v>365393</v>
      </c>
      <c r="F11" s="49">
        <f>B11-D11-E11</f>
        <v>0</v>
      </c>
    </row>
    <row r="12" spans="1:6" ht="15.75" customHeight="1">
      <c r="A12" s="589"/>
      <c r="B12" s="48"/>
      <c r="C12" s="451"/>
      <c r="D12" s="48"/>
      <c r="E12" s="48"/>
      <c r="F12" s="49">
        <f t="shared" si="0"/>
        <v>0</v>
      </c>
    </row>
    <row r="13" spans="1:6" ht="15.75" customHeight="1" thickBot="1">
      <c r="A13" s="688"/>
      <c r="B13" s="669"/>
      <c r="C13" s="689"/>
      <c r="D13" s="669"/>
      <c r="E13" s="669"/>
      <c r="F13" s="528">
        <f t="shared" si="0"/>
        <v>0</v>
      </c>
    </row>
    <row r="14" spans="1:6" ht="15.75" customHeight="1" hidden="1">
      <c r="A14" s="681"/>
      <c r="B14" s="582"/>
      <c r="C14" s="682"/>
      <c r="D14" s="582"/>
      <c r="E14" s="582"/>
      <c r="F14" s="683">
        <f t="shared" si="0"/>
        <v>0</v>
      </c>
    </row>
    <row r="15" spans="1:6" ht="15.75" customHeight="1" hidden="1">
      <c r="A15" s="532"/>
      <c r="B15" s="447"/>
      <c r="C15" s="451"/>
      <c r="D15" s="447"/>
      <c r="E15" s="447"/>
      <c r="F15" s="49">
        <f t="shared" si="0"/>
        <v>0</v>
      </c>
    </row>
    <row r="16" spans="1:6" ht="15.75" customHeight="1" hidden="1">
      <c r="A16" s="590"/>
      <c r="B16" s="447"/>
      <c r="C16" s="451"/>
      <c r="D16" s="447"/>
      <c r="E16" s="447"/>
      <c r="F16" s="49">
        <f t="shared" si="0"/>
        <v>0</v>
      </c>
    </row>
    <row r="17" spans="1:6" ht="15.75" customHeight="1" hidden="1">
      <c r="A17" s="588"/>
      <c r="B17" s="447"/>
      <c r="C17" s="451"/>
      <c r="D17" s="447"/>
      <c r="E17" s="447"/>
      <c r="F17" s="49">
        <f t="shared" si="0"/>
        <v>0</v>
      </c>
    </row>
    <row r="18" spans="1:6" ht="15.75" customHeight="1" hidden="1">
      <c r="A18" s="588"/>
      <c r="B18" s="533"/>
      <c r="C18" s="451"/>
      <c r="D18" s="447"/>
      <c r="E18" s="533"/>
      <c r="F18" s="49">
        <f t="shared" si="0"/>
        <v>0</v>
      </c>
    </row>
    <row r="19" spans="1:6" ht="15.75" customHeight="1" hidden="1">
      <c r="A19" s="589"/>
      <c r="B19" s="447"/>
      <c r="C19" s="451"/>
      <c r="D19" s="447"/>
      <c r="E19" s="447"/>
      <c r="F19" s="49">
        <f t="shared" si="0"/>
        <v>0</v>
      </c>
    </row>
    <row r="20" spans="1:6" ht="15.75" customHeight="1" hidden="1">
      <c r="A20" s="588"/>
      <c r="B20" s="533"/>
      <c r="C20" s="451"/>
      <c r="D20" s="447"/>
      <c r="E20" s="533"/>
      <c r="F20" s="49">
        <f t="shared" si="0"/>
        <v>0</v>
      </c>
    </row>
    <row r="21" spans="1:6" ht="15.75" customHeight="1" hidden="1">
      <c r="A21" s="588"/>
      <c r="B21" s="447"/>
      <c r="C21" s="451"/>
      <c r="D21" s="447"/>
      <c r="E21" s="447"/>
      <c r="F21" s="49">
        <f t="shared" si="0"/>
        <v>0</v>
      </c>
    </row>
    <row r="22" spans="1:6" ht="15.75" customHeight="1" hidden="1">
      <c r="A22" s="591"/>
      <c r="B22" s="450"/>
      <c r="C22" s="449"/>
      <c r="D22" s="450"/>
      <c r="E22" s="450"/>
      <c r="F22" s="49">
        <f t="shared" si="0"/>
        <v>0</v>
      </c>
    </row>
    <row r="23" spans="1:6" ht="15.75" customHeight="1" hidden="1">
      <c r="A23" s="591"/>
      <c r="B23" s="450"/>
      <c r="C23" s="449"/>
      <c r="D23" s="450"/>
      <c r="E23" s="450"/>
      <c r="F23" s="49">
        <f t="shared" si="0"/>
        <v>0</v>
      </c>
    </row>
    <row r="24" spans="1:6" ht="15.75" customHeight="1" hidden="1">
      <c r="A24" s="591"/>
      <c r="B24" s="450"/>
      <c r="C24" s="449"/>
      <c r="D24" s="450"/>
      <c r="E24" s="450"/>
      <c r="F24" s="49">
        <f t="shared" si="0"/>
        <v>0</v>
      </c>
    </row>
    <row r="25" spans="1:6" ht="15.75" customHeight="1" hidden="1">
      <c r="A25" s="591"/>
      <c r="B25" s="458"/>
      <c r="C25" s="459"/>
      <c r="D25" s="458"/>
      <c r="E25" s="458"/>
      <c r="F25" s="49">
        <f t="shared" si="0"/>
        <v>0</v>
      </c>
    </row>
    <row r="26" spans="1:6" ht="15.75" customHeight="1" hidden="1" thickBot="1">
      <c r="A26" s="591"/>
      <c r="B26" s="450"/>
      <c r="C26" s="449"/>
      <c r="D26" s="450"/>
      <c r="E26" s="450"/>
      <c r="F26" s="49">
        <f t="shared" si="0"/>
        <v>0</v>
      </c>
    </row>
    <row r="27" spans="1:6" s="47" customFormat="1" ht="18" customHeight="1" thickBot="1">
      <c r="A27" s="97" t="s">
        <v>87</v>
      </c>
      <c r="B27" s="98">
        <f>SUM(B5:B26)</f>
        <v>80023393</v>
      </c>
      <c r="C27" s="84"/>
      <c r="D27" s="98">
        <f>SUM(D5:D26)</f>
        <v>0</v>
      </c>
      <c r="E27" s="98">
        <f>SUM(E5:E26)</f>
        <v>80023393</v>
      </c>
      <c r="F27" s="50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dőlt"&amp;12 &amp;11 8. melléklet a 11/2017.(III.30.)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82">
      <selection activeCell="C113" sqref="C113"/>
    </sheetView>
  </sheetViews>
  <sheetFormatPr defaultColWidth="9.00390625" defaultRowHeight="12.75"/>
  <cols>
    <col min="1" max="1" width="19.50390625" style="282" customWidth="1"/>
    <col min="2" max="2" width="72.00390625" style="283" customWidth="1"/>
    <col min="3" max="3" width="25.00390625" style="284" customWidth="1"/>
    <col min="4" max="16384" width="9.375" style="2" customWidth="1"/>
  </cols>
  <sheetData>
    <row r="1" spans="1:3" s="1" customFormat="1" ht="16.5" customHeight="1" thickBot="1">
      <c r="A1" s="108"/>
      <c r="B1" s="110"/>
      <c r="C1" s="133"/>
    </row>
    <row r="2" spans="1:4" s="59" customFormat="1" ht="21" customHeight="1">
      <c r="A2" s="229" t="s">
        <v>85</v>
      </c>
      <c r="B2" s="202" t="s">
        <v>188</v>
      </c>
      <c r="C2" s="204" t="s">
        <v>76</v>
      </c>
      <c r="D2" s="587"/>
    </row>
    <row r="3" spans="1:3" s="59" customFormat="1" ht="16.5" thickBot="1">
      <c r="A3" s="111" t="s">
        <v>184</v>
      </c>
      <c r="B3" s="203" t="s">
        <v>365</v>
      </c>
      <c r="C3" s="475" t="s">
        <v>76</v>
      </c>
    </row>
    <row r="4" spans="1:3" s="60" customFormat="1" ht="15.75" customHeight="1" thickBot="1">
      <c r="A4" s="112"/>
      <c r="B4" s="112"/>
      <c r="C4" s="113" t="s">
        <v>667</v>
      </c>
    </row>
    <row r="5" spans="1:3" ht="13.5" thickBot="1">
      <c r="A5" s="230" t="s">
        <v>186</v>
      </c>
      <c r="B5" s="114" t="s">
        <v>77</v>
      </c>
      <c r="C5" s="205" t="s">
        <v>78</v>
      </c>
    </row>
    <row r="6" spans="1:3" s="51" customFormat="1" ht="12.75" customHeight="1" thickBot="1">
      <c r="A6" s="99" t="s">
        <v>512</v>
      </c>
      <c r="B6" s="100" t="s">
        <v>513</v>
      </c>
      <c r="C6" s="101" t="s">
        <v>514</v>
      </c>
    </row>
    <row r="7" spans="1:3" s="51" customFormat="1" ht="15.75" customHeight="1" thickBot="1">
      <c r="A7" s="116"/>
      <c r="B7" s="117" t="s">
        <v>79</v>
      </c>
      <c r="C7" s="206"/>
    </row>
    <row r="8" spans="1:3" s="51" customFormat="1" ht="12" customHeight="1" thickBot="1">
      <c r="A8" s="32" t="s">
        <v>41</v>
      </c>
      <c r="B8" s="20" t="s">
        <v>212</v>
      </c>
      <c r="C8" s="149">
        <f>+C9+C10+C11+C12+C13+C14</f>
        <v>1174961208</v>
      </c>
    </row>
    <row r="9" spans="1:3" s="61" customFormat="1" ht="12" customHeight="1">
      <c r="A9" s="253" t="s">
        <v>117</v>
      </c>
      <c r="B9" s="239" t="s">
        <v>213</v>
      </c>
      <c r="C9" s="277">
        <f>227512539+905743</f>
        <v>228418282</v>
      </c>
    </row>
    <row r="10" spans="1:3" s="62" customFormat="1" ht="12" customHeight="1">
      <c r="A10" s="254" t="s">
        <v>118</v>
      </c>
      <c r="B10" s="240" t="s">
        <v>214</v>
      </c>
      <c r="C10" s="153">
        <v>218107294</v>
      </c>
    </row>
    <row r="11" spans="1:3" s="62" customFormat="1" ht="12" customHeight="1">
      <c r="A11" s="254" t="s">
        <v>119</v>
      </c>
      <c r="B11" s="240" t="s">
        <v>215</v>
      </c>
      <c r="C11" s="153">
        <f>121200000+67844165+118423160+15562200+177597260+4526280+11511000+24250000-35761000</f>
        <v>505153065</v>
      </c>
    </row>
    <row r="12" spans="1:3" s="62" customFormat="1" ht="12" customHeight="1">
      <c r="A12" s="254" t="s">
        <v>120</v>
      </c>
      <c r="B12" s="240" t="s">
        <v>216</v>
      </c>
      <c r="C12" s="153">
        <f>4412740+15262320+10629000-4412740</f>
        <v>25891320</v>
      </c>
    </row>
    <row r="13" spans="1:3" s="62" customFormat="1" ht="12" customHeight="1">
      <c r="A13" s="254" t="s">
        <v>147</v>
      </c>
      <c r="B13" s="240" t="s">
        <v>576</v>
      </c>
      <c r="C13" s="153">
        <f>3551000+1060845+168707597+58000+128000+13957152+413944+9514709</f>
        <v>197391247</v>
      </c>
    </row>
    <row r="14" spans="1:3" s="61" customFormat="1" ht="12" customHeight="1" thickBot="1">
      <c r="A14" s="255" t="s">
        <v>121</v>
      </c>
      <c r="B14" s="241" t="s">
        <v>516</v>
      </c>
      <c r="C14" s="150"/>
    </row>
    <row r="15" spans="1:3" s="61" customFormat="1" ht="12" customHeight="1" thickBot="1">
      <c r="A15" s="32" t="s">
        <v>42</v>
      </c>
      <c r="B15" s="144" t="s">
        <v>217</v>
      </c>
      <c r="C15" s="149">
        <f>+C16+C17+C18+C19+C20</f>
        <v>504435588</v>
      </c>
    </row>
    <row r="16" spans="1:3" s="61" customFormat="1" ht="12" customHeight="1">
      <c r="A16" s="253" t="s">
        <v>123</v>
      </c>
      <c r="B16" s="239" t="s">
        <v>218</v>
      </c>
      <c r="C16" s="151"/>
    </row>
    <row r="17" spans="1:3" s="61" customFormat="1" ht="12" customHeight="1">
      <c r="A17" s="254" t="s">
        <v>124</v>
      </c>
      <c r="B17" s="240" t="s">
        <v>219</v>
      </c>
      <c r="C17" s="150"/>
    </row>
    <row r="18" spans="1:3" s="61" customFormat="1" ht="12" customHeight="1">
      <c r="A18" s="254" t="s">
        <v>125</v>
      </c>
      <c r="B18" s="240" t="s">
        <v>388</v>
      </c>
      <c r="C18" s="150"/>
    </row>
    <row r="19" spans="1:3" s="61" customFormat="1" ht="12" customHeight="1">
      <c r="A19" s="254" t="s">
        <v>126</v>
      </c>
      <c r="B19" s="240" t="s">
        <v>389</v>
      </c>
      <c r="C19" s="150"/>
    </row>
    <row r="20" spans="1:3" s="61" customFormat="1" ht="12" customHeight="1">
      <c r="A20" s="254" t="s">
        <v>127</v>
      </c>
      <c r="B20" s="240" t="s">
        <v>220</v>
      </c>
      <c r="C20" s="492">
        <f>2285000+210000+110446000+65342000+25310845+9303887+291175856+362000</f>
        <v>504435588</v>
      </c>
    </row>
    <row r="21" spans="1:3" s="62" customFormat="1" ht="12" customHeight="1" thickBot="1">
      <c r="A21" s="255" t="s">
        <v>136</v>
      </c>
      <c r="B21" s="241" t="s">
        <v>221</v>
      </c>
      <c r="C21" s="228"/>
    </row>
    <row r="22" spans="1:3" s="62" customFormat="1" ht="12" customHeight="1" thickBot="1">
      <c r="A22" s="32" t="s">
        <v>43</v>
      </c>
      <c r="B22" s="20" t="s">
        <v>222</v>
      </c>
      <c r="C22" s="149">
        <f>+C23+C24+C25+C26+C27</f>
        <v>18976576</v>
      </c>
    </row>
    <row r="23" spans="1:3" s="62" customFormat="1" ht="12" customHeight="1">
      <c r="A23" s="253" t="s">
        <v>106</v>
      </c>
      <c r="B23" s="239" t="s">
        <v>223</v>
      </c>
      <c r="C23" s="486"/>
    </row>
    <row r="24" spans="1:3" s="61" customFormat="1" ht="12" customHeight="1">
      <c r="A24" s="254" t="s">
        <v>107</v>
      </c>
      <c r="B24" s="240" t="s">
        <v>224</v>
      </c>
      <c r="C24" s="153"/>
    </row>
    <row r="25" spans="1:3" s="62" customFormat="1" ht="12" customHeight="1">
      <c r="A25" s="254" t="s">
        <v>108</v>
      </c>
      <c r="B25" s="240" t="s">
        <v>390</v>
      </c>
      <c r="C25" s="153"/>
    </row>
    <row r="26" spans="1:3" s="62" customFormat="1" ht="12" customHeight="1">
      <c r="A26" s="254" t="s">
        <v>109</v>
      </c>
      <c r="B26" s="240" t="s">
        <v>391</v>
      </c>
      <c r="C26" s="153"/>
    </row>
    <row r="27" spans="1:3" s="62" customFormat="1" ht="12" customHeight="1">
      <c r="A27" s="254" t="s">
        <v>159</v>
      </c>
      <c r="B27" s="240" t="s">
        <v>225</v>
      </c>
      <c r="C27" s="153">
        <f>3797300+15179276</f>
        <v>18976576</v>
      </c>
    </row>
    <row r="28" spans="1:3" s="62" customFormat="1" ht="12" customHeight="1" thickBot="1">
      <c r="A28" s="255" t="s">
        <v>160</v>
      </c>
      <c r="B28" s="241" t="s">
        <v>226</v>
      </c>
      <c r="C28" s="228">
        <v>3797300</v>
      </c>
    </row>
    <row r="29" spans="1:3" s="62" customFormat="1" ht="12" customHeight="1" thickBot="1">
      <c r="A29" s="32" t="s">
        <v>161</v>
      </c>
      <c r="B29" s="20" t="s">
        <v>227</v>
      </c>
      <c r="C29" s="154">
        <f>+C30+C34+C35+C36</f>
        <v>319390000</v>
      </c>
    </row>
    <row r="30" spans="1:3" s="62" customFormat="1" ht="12" customHeight="1">
      <c r="A30" s="253" t="s">
        <v>228</v>
      </c>
      <c r="B30" s="239" t="s">
        <v>577</v>
      </c>
      <c r="C30" s="234">
        <f>SUM(C31:C33)</f>
        <v>282830000</v>
      </c>
    </row>
    <row r="31" spans="1:3" s="62" customFormat="1" ht="12" customHeight="1">
      <c r="A31" s="254" t="s">
        <v>229</v>
      </c>
      <c r="B31" s="240" t="s">
        <v>234</v>
      </c>
      <c r="C31" s="150">
        <f>8990000+70000000</f>
        <v>78990000</v>
      </c>
    </row>
    <row r="32" spans="1:3" s="62" customFormat="1" ht="12" customHeight="1">
      <c r="A32" s="254" t="s">
        <v>230</v>
      </c>
      <c r="B32" s="240" t="s">
        <v>619</v>
      </c>
      <c r="C32" s="150">
        <v>203840000</v>
      </c>
    </row>
    <row r="33" spans="1:3" s="62" customFormat="1" ht="12" customHeight="1">
      <c r="A33" s="254" t="s">
        <v>518</v>
      </c>
      <c r="B33" s="240" t="s">
        <v>616</v>
      </c>
      <c r="C33" s="153"/>
    </row>
    <row r="34" spans="1:3" s="62" customFormat="1" ht="12" customHeight="1">
      <c r="A34" s="254" t="s">
        <v>231</v>
      </c>
      <c r="B34" s="240" t="s">
        <v>236</v>
      </c>
      <c r="C34" s="150">
        <f>27000000</f>
        <v>27000000</v>
      </c>
    </row>
    <row r="35" spans="1:3" s="62" customFormat="1" ht="12" customHeight="1">
      <c r="A35" s="254" t="s">
        <v>232</v>
      </c>
      <c r="B35" s="240" t="s">
        <v>237</v>
      </c>
      <c r="C35" s="150">
        <f>4060000-4000000</f>
        <v>60000</v>
      </c>
    </row>
    <row r="36" spans="1:3" s="62" customFormat="1" ht="12" customHeight="1" thickBot="1">
      <c r="A36" s="255" t="s">
        <v>233</v>
      </c>
      <c r="B36" s="241" t="s">
        <v>238</v>
      </c>
      <c r="C36" s="228">
        <f>5500000+4000000</f>
        <v>9500000</v>
      </c>
    </row>
    <row r="37" spans="1:3" s="62" customFormat="1" ht="12" customHeight="1" thickBot="1">
      <c r="A37" s="32" t="s">
        <v>45</v>
      </c>
      <c r="B37" s="20" t="s">
        <v>520</v>
      </c>
      <c r="C37" s="149">
        <f>SUM(C38:C48)</f>
        <v>48800000</v>
      </c>
    </row>
    <row r="38" spans="1:3" s="62" customFormat="1" ht="12" customHeight="1">
      <c r="A38" s="253" t="s">
        <v>110</v>
      </c>
      <c r="B38" s="239" t="s">
        <v>241</v>
      </c>
      <c r="C38" s="277">
        <f>3937000+4000000+5000000</f>
        <v>12937000</v>
      </c>
    </row>
    <row r="39" spans="1:3" s="62" customFormat="1" ht="12" customHeight="1">
      <c r="A39" s="254" t="s">
        <v>111</v>
      </c>
      <c r="B39" s="240" t="s">
        <v>242</v>
      </c>
      <c r="C39" s="153">
        <f>100000+12004000+160000</f>
        <v>12264000</v>
      </c>
    </row>
    <row r="40" spans="1:3" s="62" customFormat="1" ht="12" customHeight="1">
      <c r="A40" s="254" t="s">
        <v>112</v>
      </c>
      <c r="B40" s="240" t="s">
        <v>243</v>
      </c>
      <c r="C40" s="153">
        <f>8458000+947000</f>
        <v>9405000</v>
      </c>
    </row>
    <row r="41" spans="1:3" s="62" customFormat="1" ht="12" customHeight="1">
      <c r="A41" s="254" t="s">
        <v>163</v>
      </c>
      <c r="B41" s="240" t="s">
        <v>244</v>
      </c>
      <c r="C41" s="153">
        <f>430000</f>
        <v>430000</v>
      </c>
    </row>
    <row r="42" spans="1:3" s="62" customFormat="1" ht="12" customHeight="1">
      <c r="A42" s="254" t="s">
        <v>164</v>
      </c>
      <c r="B42" s="240" t="s">
        <v>245</v>
      </c>
      <c r="C42" s="153"/>
    </row>
    <row r="43" spans="1:3" s="62" customFormat="1" ht="12" customHeight="1">
      <c r="A43" s="254" t="s">
        <v>165</v>
      </c>
      <c r="B43" s="240" t="s">
        <v>246</v>
      </c>
      <c r="C43" s="153">
        <f>1063000+3242000+5853000+44000+378000+600000+1350000</f>
        <v>12530000</v>
      </c>
    </row>
    <row r="44" spans="1:3" s="62" customFormat="1" ht="12" customHeight="1">
      <c r="A44" s="254" t="s">
        <v>166</v>
      </c>
      <c r="B44" s="240" t="s">
        <v>247</v>
      </c>
      <c r="C44" s="153"/>
    </row>
    <row r="45" spans="1:3" s="62" customFormat="1" ht="12" customHeight="1">
      <c r="A45" s="254" t="s">
        <v>167</v>
      </c>
      <c r="B45" s="240" t="s">
        <v>248</v>
      </c>
      <c r="C45" s="153">
        <v>30000</v>
      </c>
    </row>
    <row r="46" spans="1:3" s="62" customFormat="1" ht="12" customHeight="1">
      <c r="A46" s="254" t="s">
        <v>239</v>
      </c>
      <c r="B46" s="240" t="s">
        <v>249</v>
      </c>
      <c r="C46" s="153"/>
    </row>
    <row r="47" spans="1:3" s="62" customFormat="1" ht="12" customHeight="1">
      <c r="A47" s="255" t="s">
        <v>240</v>
      </c>
      <c r="B47" s="241" t="s">
        <v>521</v>
      </c>
      <c r="C47" s="228">
        <f>500000</f>
        <v>500000</v>
      </c>
    </row>
    <row r="48" spans="1:3" s="62" customFormat="1" ht="12" customHeight="1" thickBot="1">
      <c r="A48" s="255" t="s">
        <v>522</v>
      </c>
      <c r="B48" s="241" t="s">
        <v>250</v>
      </c>
      <c r="C48" s="228">
        <f>704000</f>
        <v>704000</v>
      </c>
    </row>
    <row r="49" spans="1:3" s="62" customFormat="1" ht="12" customHeight="1" thickBot="1">
      <c r="A49" s="32" t="s">
        <v>46</v>
      </c>
      <c r="B49" s="20" t="s">
        <v>251</v>
      </c>
      <c r="C49" s="149">
        <f>SUM(C50:C54)</f>
        <v>25179000</v>
      </c>
    </row>
    <row r="50" spans="1:3" s="62" customFormat="1" ht="12" customHeight="1">
      <c r="A50" s="253" t="s">
        <v>113</v>
      </c>
      <c r="B50" s="239" t="s">
        <v>255</v>
      </c>
      <c r="C50" s="277"/>
    </row>
    <row r="51" spans="1:3" s="62" customFormat="1" ht="12" customHeight="1">
      <c r="A51" s="254" t="s">
        <v>114</v>
      </c>
      <c r="B51" s="240" t="s">
        <v>256</v>
      </c>
      <c r="C51" s="153">
        <f>25179000</f>
        <v>25179000</v>
      </c>
    </row>
    <row r="52" spans="1:3" s="62" customFormat="1" ht="12" customHeight="1">
      <c r="A52" s="254" t="s">
        <v>252</v>
      </c>
      <c r="B52" s="240" t="s">
        <v>257</v>
      </c>
      <c r="C52" s="153"/>
    </row>
    <row r="53" spans="1:3" s="62" customFormat="1" ht="12" customHeight="1">
      <c r="A53" s="254" t="s">
        <v>253</v>
      </c>
      <c r="B53" s="240" t="s">
        <v>258</v>
      </c>
      <c r="C53" s="153"/>
    </row>
    <row r="54" spans="1:3" s="62" customFormat="1" ht="12" customHeight="1" thickBot="1">
      <c r="A54" s="255" t="s">
        <v>254</v>
      </c>
      <c r="B54" s="241" t="s">
        <v>259</v>
      </c>
      <c r="C54" s="228"/>
    </row>
    <row r="55" spans="1:3" s="62" customFormat="1" ht="12" customHeight="1" thickBot="1">
      <c r="A55" s="32" t="s">
        <v>168</v>
      </c>
      <c r="B55" s="20" t="s">
        <v>260</v>
      </c>
      <c r="C55" s="149">
        <f>SUM(C56:C58)</f>
        <v>6024000</v>
      </c>
    </row>
    <row r="56" spans="1:3" s="62" customFormat="1" ht="12" customHeight="1">
      <c r="A56" s="253" t="s">
        <v>115</v>
      </c>
      <c r="B56" s="239" t="s">
        <v>261</v>
      </c>
      <c r="C56" s="151"/>
    </row>
    <row r="57" spans="1:3" s="62" customFormat="1" ht="12" customHeight="1">
      <c r="A57" s="254" t="s">
        <v>116</v>
      </c>
      <c r="B57" s="240" t="s">
        <v>392</v>
      </c>
      <c r="C57" s="153">
        <f>383000+1566000</f>
        <v>1949000</v>
      </c>
    </row>
    <row r="58" spans="1:3" s="62" customFormat="1" ht="12" customHeight="1">
      <c r="A58" s="254" t="s">
        <v>264</v>
      </c>
      <c r="B58" s="240" t="s">
        <v>262</v>
      </c>
      <c r="C58" s="153">
        <f>4075000</f>
        <v>4075000</v>
      </c>
    </row>
    <row r="59" spans="1:3" s="62" customFormat="1" ht="12" customHeight="1" thickBot="1">
      <c r="A59" s="255" t="s">
        <v>265</v>
      </c>
      <c r="B59" s="241" t="s">
        <v>263</v>
      </c>
      <c r="C59" s="152"/>
    </row>
    <row r="60" spans="1:3" s="62" customFormat="1" ht="12" customHeight="1" thickBot="1">
      <c r="A60" s="32" t="s">
        <v>48</v>
      </c>
      <c r="B60" s="144" t="s">
        <v>266</v>
      </c>
      <c r="C60" s="149">
        <f>SUM(C61:C63)</f>
        <v>0</v>
      </c>
    </row>
    <row r="61" spans="1:3" s="62" customFormat="1" ht="12" customHeight="1">
      <c r="A61" s="253" t="s">
        <v>169</v>
      </c>
      <c r="B61" s="239" t="s">
        <v>268</v>
      </c>
      <c r="C61" s="153"/>
    </row>
    <row r="62" spans="1:3" s="62" customFormat="1" ht="12" customHeight="1">
      <c r="A62" s="254" t="s">
        <v>170</v>
      </c>
      <c r="B62" s="240" t="s">
        <v>393</v>
      </c>
      <c r="C62" s="153"/>
    </row>
    <row r="63" spans="1:3" s="62" customFormat="1" ht="12" customHeight="1">
      <c r="A63" s="254" t="s">
        <v>192</v>
      </c>
      <c r="B63" s="240" t="s">
        <v>269</v>
      </c>
      <c r="C63" s="153"/>
    </row>
    <row r="64" spans="1:3" s="62" customFormat="1" ht="12" customHeight="1" thickBot="1">
      <c r="A64" s="255" t="s">
        <v>267</v>
      </c>
      <c r="B64" s="241" t="s">
        <v>270</v>
      </c>
      <c r="C64" s="153"/>
    </row>
    <row r="65" spans="1:3" s="62" customFormat="1" ht="12" customHeight="1" thickBot="1">
      <c r="A65" s="32" t="s">
        <v>49</v>
      </c>
      <c r="B65" s="20" t="s">
        <v>271</v>
      </c>
      <c r="C65" s="154">
        <f>+C8+C15+C22+C29+C37+C49+C55+C60</f>
        <v>2097766372</v>
      </c>
    </row>
    <row r="66" spans="1:3" s="62" customFormat="1" ht="12" customHeight="1" thickBot="1">
      <c r="A66" s="256" t="s">
        <v>361</v>
      </c>
      <c r="B66" s="144" t="s">
        <v>273</v>
      </c>
      <c r="C66" s="149">
        <f>SUM(C67:C69)</f>
        <v>144100000</v>
      </c>
    </row>
    <row r="67" spans="1:3" s="62" customFormat="1" ht="12" customHeight="1">
      <c r="A67" s="253" t="s">
        <v>304</v>
      </c>
      <c r="B67" s="239" t="s">
        <v>274</v>
      </c>
      <c r="C67" s="153">
        <v>44100000</v>
      </c>
    </row>
    <row r="68" spans="1:3" s="62" customFormat="1" ht="12" customHeight="1">
      <c r="A68" s="254" t="s">
        <v>313</v>
      </c>
      <c r="B68" s="240" t="s">
        <v>275</v>
      </c>
      <c r="C68" s="153">
        <v>100000000</v>
      </c>
    </row>
    <row r="69" spans="1:3" s="62" customFormat="1" ht="12" customHeight="1" thickBot="1">
      <c r="A69" s="255" t="s">
        <v>314</v>
      </c>
      <c r="B69" s="242" t="s">
        <v>276</v>
      </c>
      <c r="C69" s="153"/>
    </row>
    <row r="70" spans="1:3" s="62" customFormat="1" ht="12" customHeight="1" thickBot="1">
      <c r="A70" s="256" t="s">
        <v>277</v>
      </c>
      <c r="B70" s="144" t="s">
        <v>278</v>
      </c>
      <c r="C70" s="149">
        <f>SUM(C71:C74)</f>
        <v>0</v>
      </c>
    </row>
    <row r="71" spans="1:3" s="62" customFormat="1" ht="12" customHeight="1">
      <c r="A71" s="253" t="s">
        <v>148</v>
      </c>
      <c r="B71" s="239" t="s">
        <v>279</v>
      </c>
      <c r="C71" s="153"/>
    </row>
    <row r="72" spans="1:3" s="62" customFormat="1" ht="12" customHeight="1">
      <c r="A72" s="254" t="s">
        <v>149</v>
      </c>
      <c r="B72" s="240" t="s">
        <v>280</v>
      </c>
      <c r="C72" s="153"/>
    </row>
    <row r="73" spans="1:3" s="62" customFormat="1" ht="12" customHeight="1">
      <c r="A73" s="254" t="s">
        <v>305</v>
      </c>
      <c r="B73" s="240" t="s">
        <v>281</v>
      </c>
      <c r="C73" s="153"/>
    </row>
    <row r="74" spans="1:3" s="62" customFormat="1" ht="12" customHeight="1" thickBot="1">
      <c r="A74" s="255" t="s">
        <v>306</v>
      </c>
      <c r="B74" s="241" t="s">
        <v>282</v>
      </c>
      <c r="C74" s="153"/>
    </row>
    <row r="75" spans="1:3" s="62" customFormat="1" ht="12" customHeight="1" thickBot="1">
      <c r="A75" s="256" t="s">
        <v>283</v>
      </c>
      <c r="B75" s="144" t="s">
        <v>284</v>
      </c>
      <c r="C75" s="149">
        <f>SUM(C76:C77)</f>
        <v>289331423</v>
      </c>
    </row>
    <row r="76" spans="1:3" s="62" customFormat="1" ht="12" customHeight="1">
      <c r="A76" s="253" t="s">
        <v>307</v>
      </c>
      <c r="B76" s="239" t="s">
        <v>285</v>
      </c>
      <c r="C76" s="153">
        <v>289331423</v>
      </c>
    </row>
    <row r="77" spans="1:3" s="62" customFormat="1" ht="12" customHeight="1" thickBot="1">
      <c r="A77" s="255" t="s">
        <v>308</v>
      </c>
      <c r="B77" s="241" t="s">
        <v>286</v>
      </c>
      <c r="C77" s="153"/>
    </row>
    <row r="78" spans="1:3" s="61" customFormat="1" ht="12" customHeight="1" thickBot="1">
      <c r="A78" s="256" t="s">
        <v>287</v>
      </c>
      <c r="B78" s="144" t="s">
        <v>288</v>
      </c>
      <c r="C78" s="149">
        <f>SUM(C79:C81)</f>
        <v>0</v>
      </c>
    </row>
    <row r="79" spans="1:3" s="62" customFormat="1" ht="12" customHeight="1">
      <c r="A79" s="253" t="s">
        <v>309</v>
      </c>
      <c r="B79" s="239" t="s">
        <v>289</v>
      </c>
      <c r="C79" s="153"/>
    </row>
    <row r="80" spans="1:3" s="62" customFormat="1" ht="12" customHeight="1">
      <c r="A80" s="254" t="s">
        <v>310</v>
      </c>
      <c r="B80" s="240" t="s">
        <v>290</v>
      </c>
      <c r="C80" s="153"/>
    </row>
    <row r="81" spans="1:3" s="62" customFormat="1" ht="12" customHeight="1" thickBot="1">
      <c r="A81" s="255" t="s">
        <v>311</v>
      </c>
      <c r="B81" s="241" t="s">
        <v>291</v>
      </c>
      <c r="C81" s="153"/>
    </row>
    <row r="82" spans="1:3" s="62" customFormat="1" ht="12" customHeight="1" thickBot="1">
      <c r="A82" s="256" t="s">
        <v>292</v>
      </c>
      <c r="B82" s="144" t="s">
        <v>312</v>
      </c>
      <c r="C82" s="149">
        <f>SUM(C83:C86)</f>
        <v>0</v>
      </c>
    </row>
    <row r="83" spans="1:3" s="62" customFormat="1" ht="12" customHeight="1">
      <c r="A83" s="257" t="s">
        <v>293</v>
      </c>
      <c r="B83" s="239" t="s">
        <v>294</v>
      </c>
      <c r="C83" s="153"/>
    </row>
    <row r="84" spans="1:3" s="62" customFormat="1" ht="12" customHeight="1">
      <c r="A84" s="258" t="s">
        <v>295</v>
      </c>
      <c r="B84" s="240" t="s">
        <v>296</v>
      </c>
      <c r="C84" s="153"/>
    </row>
    <row r="85" spans="1:3" s="62" customFormat="1" ht="12" customHeight="1">
      <c r="A85" s="258" t="s">
        <v>297</v>
      </c>
      <c r="B85" s="240" t="s">
        <v>298</v>
      </c>
      <c r="C85" s="153"/>
    </row>
    <row r="86" spans="1:3" s="61" customFormat="1" ht="12" customHeight="1" thickBot="1">
      <c r="A86" s="259" t="s">
        <v>299</v>
      </c>
      <c r="B86" s="241" t="s">
        <v>300</v>
      </c>
      <c r="C86" s="153"/>
    </row>
    <row r="87" spans="1:3" s="61" customFormat="1" ht="12" customHeight="1" thickBot="1">
      <c r="A87" s="256" t="s">
        <v>301</v>
      </c>
      <c r="B87" s="144" t="s">
        <v>525</v>
      </c>
      <c r="C87" s="278"/>
    </row>
    <row r="88" spans="1:3" s="61" customFormat="1" ht="12" customHeight="1" thickBot="1">
      <c r="A88" s="256" t="s">
        <v>578</v>
      </c>
      <c r="B88" s="144" t="s">
        <v>302</v>
      </c>
      <c r="C88" s="278"/>
    </row>
    <row r="89" spans="1:3" s="61" customFormat="1" ht="12" customHeight="1" thickBot="1">
      <c r="A89" s="256" t="s">
        <v>579</v>
      </c>
      <c r="B89" s="246" t="s">
        <v>526</v>
      </c>
      <c r="C89" s="154">
        <f>+C66+C70+C75+C78+C82+C88+C87</f>
        <v>433431423</v>
      </c>
    </row>
    <row r="90" spans="1:3" s="61" customFormat="1" ht="12" customHeight="1" thickBot="1">
      <c r="A90" s="260" t="s">
        <v>580</v>
      </c>
      <c r="B90" s="247" t="s">
        <v>581</v>
      </c>
      <c r="C90" s="154">
        <f>+C65+C89</f>
        <v>2531197795</v>
      </c>
    </row>
    <row r="91" spans="1:3" s="62" customFormat="1" ht="15" customHeight="1" thickBot="1">
      <c r="A91" s="122"/>
      <c r="B91" s="123"/>
      <c r="C91" s="211"/>
    </row>
    <row r="92" spans="1:3" s="51" customFormat="1" ht="16.5" customHeight="1" thickBot="1">
      <c r="A92" s="126"/>
      <c r="B92" s="127" t="s">
        <v>80</v>
      </c>
      <c r="C92" s="213"/>
    </row>
    <row r="93" spans="1:3" s="63" customFormat="1" ht="12" customHeight="1" thickBot="1">
      <c r="A93" s="231" t="s">
        <v>41</v>
      </c>
      <c r="B93" s="26" t="s">
        <v>592</v>
      </c>
      <c r="C93" s="148">
        <f>+C94+C95+C96+C97+C98+C111</f>
        <v>990113860</v>
      </c>
    </row>
    <row r="94" spans="1:3" ht="12" customHeight="1">
      <c r="A94" s="261" t="s">
        <v>117</v>
      </c>
      <c r="B94" s="9" t="s">
        <v>72</v>
      </c>
      <c r="C94" s="509">
        <f>25364000+485000+6010000+3749000+165142000+48000+105000+8381882+232903371-282000+589000+24000+281000+326126</f>
        <v>443126379</v>
      </c>
    </row>
    <row r="95" spans="1:3" ht="12" customHeight="1">
      <c r="A95" s="254" t="s">
        <v>118</v>
      </c>
      <c r="B95" s="7" t="s">
        <v>171</v>
      </c>
      <c r="C95" s="153">
        <f>5239000+143000+1233000+14000+1652000+19299000+10000+23000+922005+25618911-63900+117000+10800+31000+35874</f>
        <v>54284690</v>
      </c>
    </row>
    <row r="96" spans="1:3" ht="12" customHeight="1">
      <c r="A96" s="254" t="s">
        <v>119</v>
      </c>
      <c r="B96" s="7" t="s">
        <v>146</v>
      </c>
      <c r="C96" s="228">
        <f>11475000+835000+4801000+2722822+944166+8715000+1817000+17736000+735000+300000+8485000+34925000+628800+40773000+3429000+11212000+576000+3351000+1682000+16980000+46750042+1200000+4573000+1350000+376000+36794904+295900+401000+20000+812000+400000+411000+1982000+1600000</f>
        <v>269088634</v>
      </c>
    </row>
    <row r="97" spans="1:3" ht="12" customHeight="1">
      <c r="A97" s="254" t="s">
        <v>120</v>
      </c>
      <c r="B97" s="10" t="s">
        <v>172</v>
      </c>
      <c r="C97" s="228">
        <f>70980000</f>
        <v>70980000</v>
      </c>
    </row>
    <row r="98" spans="1:3" ht="12" customHeight="1">
      <c r="A98" s="254" t="s">
        <v>131</v>
      </c>
      <c r="B98" s="18" t="s">
        <v>173</v>
      </c>
      <c r="C98" s="228">
        <f>SUM(C99:C110)</f>
        <v>40666500</v>
      </c>
    </row>
    <row r="99" spans="1:3" ht="12" customHeight="1">
      <c r="A99" s="254" t="s">
        <v>121</v>
      </c>
      <c r="B99" s="7" t="s">
        <v>582</v>
      </c>
      <c r="C99" s="228">
        <v>1500</v>
      </c>
    </row>
    <row r="100" spans="1:3" ht="12" customHeight="1">
      <c r="A100" s="254" t="s">
        <v>122</v>
      </c>
      <c r="B100" s="90" t="s">
        <v>530</v>
      </c>
      <c r="C100" s="228"/>
    </row>
    <row r="101" spans="1:3" ht="12" customHeight="1">
      <c r="A101" s="254" t="s">
        <v>132</v>
      </c>
      <c r="B101" s="90" t="s">
        <v>531</v>
      </c>
      <c r="C101" s="228"/>
    </row>
    <row r="102" spans="1:3" ht="12" customHeight="1">
      <c r="A102" s="254" t="s">
        <v>133</v>
      </c>
      <c r="B102" s="90" t="s">
        <v>318</v>
      </c>
      <c r="C102" s="228"/>
    </row>
    <row r="103" spans="1:3" ht="12" customHeight="1">
      <c r="A103" s="254" t="s">
        <v>134</v>
      </c>
      <c r="B103" s="91" t="s">
        <v>319</v>
      </c>
      <c r="C103" s="228"/>
    </row>
    <row r="104" spans="1:3" ht="12" customHeight="1">
      <c r="A104" s="254" t="s">
        <v>135</v>
      </c>
      <c r="B104" s="91" t="s">
        <v>320</v>
      </c>
      <c r="C104" s="228"/>
    </row>
    <row r="105" spans="1:3" ht="12" customHeight="1">
      <c r="A105" s="254" t="s">
        <v>137</v>
      </c>
      <c r="B105" s="90" t="s">
        <v>321</v>
      </c>
      <c r="C105" s="228"/>
    </row>
    <row r="106" spans="1:3" ht="12" customHeight="1">
      <c r="A106" s="254" t="s">
        <v>174</v>
      </c>
      <c r="B106" s="90" t="s">
        <v>322</v>
      </c>
      <c r="C106" s="228"/>
    </row>
    <row r="107" spans="1:3" ht="12" customHeight="1">
      <c r="A107" s="254" t="s">
        <v>316</v>
      </c>
      <c r="B107" s="91" t="s">
        <v>323</v>
      </c>
      <c r="C107" s="228"/>
    </row>
    <row r="108" spans="1:3" ht="12" customHeight="1">
      <c r="A108" s="262" t="s">
        <v>317</v>
      </c>
      <c r="B108" s="92" t="s">
        <v>324</v>
      </c>
      <c r="C108" s="228"/>
    </row>
    <row r="109" spans="1:3" ht="12" customHeight="1">
      <c r="A109" s="254" t="s">
        <v>532</v>
      </c>
      <c r="B109" s="92" t="s">
        <v>325</v>
      </c>
      <c r="C109" s="228"/>
    </row>
    <row r="110" spans="1:3" ht="12" customHeight="1">
      <c r="A110" s="254" t="s">
        <v>533</v>
      </c>
      <c r="B110" s="91" t="s">
        <v>326</v>
      </c>
      <c r="C110" s="153">
        <f>536000+11389000+8562000+16678000+3500000</f>
        <v>40665000</v>
      </c>
    </row>
    <row r="111" spans="1:3" ht="12" customHeight="1">
      <c r="A111" s="254" t="s">
        <v>534</v>
      </c>
      <c r="B111" s="10" t="s">
        <v>73</v>
      </c>
      <c r="C111" s="153">
        <f>C112+C113</f>
        <v>111967657</v>
      </c>
    </row>
    <row r="112" spans="1:3" ht="12" customHeight="1">
      <c r="A112" s="255" t="s">
        <v>535</v>
      </c>
      <c r="B112" s="7" t="s">
        <v>583</v>
      </c>
      <c r="C112" s="228">
        <f>20000000-9172313</f>
        <v>10827687</v>
      </c>
    </row>
    <row r="113" spans="1:3" ht="12" customHeight="1" thickBot="1">
      <c r="A113" s="263" t="s">
        <v>537</v>
      </c>
      <c r="B113" s="93" t="s">
        <v>584</v>
      </c>
      <c r="C113" s="526">
        <f>110613300+500000-8373330-1600000</f>
        <v>101139970</v>
      </c>
    </row>
    <row r="114" spans="1:3" ht="12" customHeight="1" thickBot="1">
      <c r="A114" s="32" t="s">
        <v>42</v>
      </c>
      <c r="B114" s="25" t="s">
        <v>327</v>
      </c>
      <c r="C114" s="149">
        <f>+C115+C117+C119</f>
        <v>175752176</v>
      </c>
    </row>
    <row r="115" spans="1:3" ht="12" customHeight="1">
      <c r="A115" s="253" t="s">
        <v>123</v>
      </c>
      <c r="B115" s="7" t="s">
        <v>191</v>
      </c>
      <c r="C115" s="277">
        <f>6621000+2963001+787402+10624171+3081125+300001+529000+1654000+447000+2237000+90200+6604000+301000+204000+15179276</f>
        <v>51622176</v>
      </c>
    </row>
    <row r="116" spans="1:3" ht="12" customHeight="1">
      <c r="A116" s="253" t="s">
        <v>124</v>
      </c>
      <c r="B116" s="11" t="s">
        <v>331</v>
      </c>
      <c r="C116" s="277">
        <v>14492698</v>
      </c>
    </row>
    <row r="117" spans="1:3" ht="12" customHeight="1">
      <c r="A117" s="253" t="s">
        <v>125</v>
      </c>
      <c r="B117" s="11" t="s">
        <v>175</v>
      </c>
      <c r="C117" s="153">
        <f>53340000+21000000+1513000+2996000+809000</f>
        <v>79658000</v>
      </c>
    </row>
    <row r="118" spans="1:3" ht="12" customHeight="1">
      <c r="A118" s="253" t="s">
        <v>126</v>
      </c>
      <c r="B118" s="11" t="s">
        <v>332</v>
      </c>
      <c r="C118" s="488">
        <v>53340000</v>
      </c>
    </row>
    <row r="119" spans="1:3" ht="12" customHeight="1">
      <c r="A119" s="253" t="s">
        <v>127</v>
      </c>
      <c r="B119" s="146" t="s">
        <v>193</v>
      </c>
      <c r="C119" s="488">
        <f>SUM(C120:C127)</f>
        <v>44472000</v>
      </c>
    </row>
    <row r="120" spans="1:3" ht="12" customHeight="1">
      <c r="A120" s="253" t="s">
        <v>136</v>
      </c>
      <c r="B120" s="145" t="s">
        <v>394</v>
      </c>
      <c r="C120" s="135"/>
    </row>
    <row r="121" spans="1:3" ht="12" customHeight="1">
      <c r="A121" s="253" t="s">
        <v>138</v>
      </c>
      <c r="B121" s="235" t="s">
        <v>337</v>
      </c>
      <c r="C121" s="135"/>
    </row>
    <row r="122" spans="1:3" ht="12" customHeight="1">
      <c r="A122" s="253" t="s">
        <v>176</v>
      </c>
      <c r="B122" s="91" t="s">
        <v>320</v>
      </c>
      <c r="C122" s="135"/>
    </row>
    <row r="123" spans="1:3" ht="12" customHeight="1">
      <c r="A123" s="253" t="s">
        <v>177</v>
      </c>
      <c r="B123" s="91" t="s">
        <v>336</v>
      </c>
      <c r="C123" s="135"/>
    </row>
    <row r="124" spans="1:3" ht="12" customHeight="1">
      <c r="A124" s="253" t="s">
        <v>178</v>
      </c>
      <c r="B124" s="91" t="s">
        <v>335</v>
      </c>
      <c r="C124" s="135"/>
    </row>
    <row r="125" spans="1:3" ht="12" customHeight="1">
      <c r="A125" s="253" t="s">
        <v>328</v>
      </c>
      <c r="B125" s="91" t="s">
        <v>323</v>
      </c>
      <c r="C125" s="135"/>
    </row>
    <row r="126" spans="1:3" ht="12" customHeight="1">
      <c r="A126" s="253" t="s">
        <v>329</v>
      </c>
      <c r="B126" s="91" t="s">
        <v>334</v>
      </c>
      <c r="C126" s="135"/>
    </row>
    <row r="127" spans="1:3" ht="12" customHeight="1" thickBot="1">
      <c r="A127" s="262" t="s">
        <v>330</v>
      </c>
      <c r="B127" s="91" t="s">
        <v>333</v>
      </c>
      <c r="C127" s="499">
        <f>42072000+2400000</f>
        <v>44472000</v>
      </c>
    </row>
    <row r="128" spans="1:3" ht="12" customHeight="1" thickBot="1">
      <c r="A128" s="32" t="s">
        <v>43</v>
      </c>
      <c r="B128" s="86" t="s">
        <v>539</v>
      </c>
      <c r="C128" s="149">
        <f>+C93+C114</f>
        <v>1165866036</v>
      </c>
    </row>
    <row r="129" spans="1:3" ht="12" customHeight="1" thickBot="1">
      <c r="A129" s="32" t="s">
        <v>44</v>
      </c>
      <c r="B129" s="86" t="s">
        <v>540</v>
      </c>
      <c r="C129" s="149">
        <f>+C130+C131+C132</f>
        <v>103161000</v>
      </c>
    </row>
    <row r="130" spans="1:3" s="63" customFormat="1" ht="12" customHeight="1">
      <c r="A130" s="253" t="s">
        <v>228</v>
      </c>
      <c r="B130" s="8" t="s">
        <v>585</v>
      </c>
      <c r="C130" s="488">
        <v>3161000</v>
      </c>
    </row>
    <row r="131" spans="1:3" ht="12" customHeight="1">
      <c r="A131" s="253" t="s">
        <v>231</v>
      </c>
      <c r="B131" s="8" t="s">
        <v>542</v>
      </c>
      <c r="C131" s="135">
        <v>100000000</v>
      </c>
    </row>
    <row r="132" spans="1:3" ht="12" customHeight="1" thickBot="1">
      <c r="A132" s="262" t="s">
        <v>232</v>
      </c>
      <c r="B132" s="6" t="s">
        <v>586</v>
      </c>
      <c r="C132" s="135"/>
    </row>
    <row r="133" spans="1:3" ht="12" customHeight="1" thickBot="1">
      <c r="A133" s="32" t="s">
        <v>45</v>
      </c>
      <c r="B133" s="86" t="s">
        <v>544</v>
      </c>
      <c r="C133" s="149">
        <f>+C134+C135+C136+C137+C138+C139</f>
        <v>0</v>
      </c>
    </row>
    <row r="134" spans="1:3" ht="12" customHeight="1">
      <c r="A134" s="253" t="s">
        <v>110</v>
      </c>
      <c r="B134" s="8" t="s">
        <v>545</v>
      </c>
      <c r="C134" s="135"/>
    </row>
    <row r="135" spans="1:3" ht="12" customHeight="1">
      <c r="A135" s="253" t="s">
        <v>111</v>
      </c>
      <c r="B135" s="8" t="s">
        <v>546</v>
      </c>
      <c r="C135" s="135"/>
    </row>
    <row r="136" spans="1:3" ht="12" customHeight="1">
      <c r="A136" s="253" t="s">
        <v>112</v>
      </c>
      <c r="B136" s="8" t="s">
        <v>547</v>
      </c>
      <c r="C136" s="135"/>
    </row>
    <row r="137" spans="1:3" ht="12" customHeight="1">
      <c r="A137" s="253" t="s">
        <v>163</v>
      </c>
      <c r="B137" s="8" t="s">
        <v>587</v>
      </c>
      <c r="C137" s="135"/>
    </row>
    <row r="138" spans="1:3" ht="12" customHeight="1">
      <c r="A138" s="253" t="s">
        <v>164</v>
      </c>
      <c r="B138" s="8" t="s">
        <v>549</v>
      </c>
      <c r="C138" s="135"/>
    </row>
    <row r="139" spans="1:3" s="63" customFormat="1" ht="12" customHeight="1" thickBot="1">
      <c r="A139" s="262" t="s">
        <v>165</v>
      </c>
      <c r="B139" s="6" t="s">
        <v>550</v>
      </c>
      <c r="C139" s="135"/>
    </row>
    <row r="140" spans="1:11" ht="12" customHeight="1" thickBot="1">
      <c r="A140" s="32" t="s">
        <v>46</v>
      </c>
      <c r="B140" s="86" t="s">
        <v>588</v>
      </c>
      <c r="C140" s="154">
        <f>+C141+C142+C144+C145+C143</f>
        <v>35164932</v>
      </c>
      <c r="K140" s="134"/>
    </row>
    <row r="141" spans="1:3" ht="12.75">
      <c r="A141" s="253" t="s">
        <v>113</v>
      </c>
      <c r="B141" s="8" t="s">
        <v>338</v>
      </c>
      <c r="C141" s="135"/>
    </row>
    <row r="142" spans="1:3" ht="12" customHeight="1">
      <c r="A142" s="253" t="s">
        <v>114</v>
      </c>
      <c r="B142" s="8" t="s">
        <v>339</v>
      </c>
      <c r="C142" s="135">
        <f>35164932</f>
        <v>35164932</v>
      </c>
    </row>
    <row r="143" spans="1:3" ht="12" customHeight="1">
      <c r="A143" s="253" t="s">
        <v>252</v>
      </c>
      <c r="B143" s="8" t="s">
        <v>589</v>
      </c>
      <c r="C143" s="135"/>
    </row>
    <row r="144" spans="1:3" s="63" customFormat="1" ht="12" customHeight="1">
      <c r="A144" s="253" t="s">
        <v>253</v>
      </c>
      <c r="B144" s="8" t="s">
        <v>552</v>
      </c>
      <c r="C144" s="135"/>
    </row>
    <row r="145" spans="1:3" s="63" customFormat="1" ht="12" customHeight="1" thickBot="1">
      <c r="A145" s="262" t="s">
        <v>254</v>
      </c>
      <c r="B145" s="6" t="s">
        <v>357</v>
      </c>
      <c r="C145" s="135"/>
    </row>
    <row r="146" spans="1:3" s="63" customFormat="1" ht="12" customHeight="1" thickBot="1">
      <c r="A146" s="32" t="s">
        <v>47</v>
      </c>
      <c r="B146" s="86" t="s">
        <v>553</v>
      </c>
      <c r="C146" s="157">
        <f>+C147+C148+C149+C150+C151</f>
        <v>0</v>
      </c>
    </row>
    <row r="147" spans="1:3" s="63" customFormat="1" ht="12" customHeight="1">
      <c r="A147" s="253" t="s">
        <v>115</v>
      </c>
      <c r="B147" s="8" t="s">
        <v>554</v>
      </c>
      <c r="C147" s="135"/>
    </row>
    <row r="148" spans="1:3" s="63" customFormat="1" ht="12" customHeight="1">
      <c r="A148" s="253" t="s">
        <v>116</v>
      </c>
      <c r="B148" s="8" t="s">
        <v>555</v>
      </c>
      <c r="C148" s="135"/>
    </row>
    <row r="149" spans="1:3" s="63" customFormat="1" ht="12" customHeight="1">
      <c r="A149" s="253" t="s">
        <v>264</v>
      </c>
      <c r="B149" s="8" t="s">
        <v>556</v>
      </c>
      <c r="C149" s="135"/>
    </row>
    <row r="150" spans="1:3" s="63" customFormat="1" ht="12" customHeight="1">
      <c r="A150" s="253" t="s">
        <v>265</v>
      </c>
      <c r="B150" s="8" t="s">
        <v>590</v>
      </c>
      <c r="C150" s="135"/>
    </row>
    <row r="151" spans="1:3" ht="12.75" customHeight="1" thickBot="1">
      <c r="A151" s="262" t="s">
        <v>558</v>
      </c>
      <c r="B151" s="6" t="s">
        <v>559</v>
      </c>
      <c r="C151" s="136"/>
    </row>
    <row r="152" spans="1:3" ht="12.75" customHeight="1" thickBot="1">
      <c r="A152" s="476" t="s">
        <v>48</v>
      </c>
      <c r="B152" s="86" t="s">
        <v>560</v>
      </c>
      <c r="C152" s="157"/>
    </row>
    <row r="153" spans="1:3" ht="12.75" customHeight="1" thickBot="1">
      <c r="A153" s="476" t="s">
        <v>49</v>
      </c>
      <c r="B153" s="86" t="s">
        <v>561</v>
      </c>
      <c r="C153" s="157"/>
    </row>
    <row r="154" spans="1:3" ht="12" customHeight="1" thickBot="1">
      <c r="A154" s="32" t="s">
        <v>50</v>
      </c>
      <c r="B154" s="86" t="s">
        <v>562</v>
      </c>
      <c r="C154" s="249">
        <f>+C129+C133+C140+C146+C152+C153</f>
        <v>138325932</v>
      </c>
    </row>
    <row r="155" spans="1:3" ht="15" customHeight="1" thickBot="1">
      <c r="A155" s="264" t="s">
        <v>51</v>
      </c>
      <c r="B155" s="224" t="s">
        <v>563</v>
      </c>
      <c r="C155" s="249">
        <f>+C128+C154</f>
        <v>1304191968</v>
      </c>
    </row>
    <row r="156" ht="13.5" thickBot="1"/>
    <row r="157" spans="1:3" ht="15" customHeight="1" thickBot="1">
      <c r="A157" s="131" t="s">
        <v>591</v>
      </c>
      <c r="B157" s="132"/>
      <c r="C157" s="85">
        <v>3</v>
      </c>
    </row>
    <row r="158" spans="1:3" ht="14.25" customHeight="1" thickBot="1">
      <c r="A158" s="131" t="s">
        <v>187</v>
      </c>
      <c r="B158" s="132"/>
      <c r="C158" s="85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11/2017.(III.30.)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2017-03-31T09:37:53Z</cp:lastPrinted>
  <dcterms:created xsi:type="dcterms:W3CDTF">1999-10-30T10:30:45Z</dcterms:created>
  <dcterms:modified xsi:type="dcterms:W3CDTF">2017-03-31T10:29:16Z</dcterms:modified>
  <cp:category/>
  <cp:version/>
  <cp:contentType/>
  <cp:contentStatus/>
</cp:coreProperties>
</file>