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015" tabRatio="803" activeTab="5"/>
  </bookViews>
  <sheets>
    <sheet name="önként2017." sheetId="1" r:id="rId1"/>
    <sheet name="kötelező2017." sheetId="2" r:id="rId2"/>
    <sheet name="önként2017.felh." sheetId="3" r:id="rId3"/>
    <sheet name="kötelező2017.felh." sheetId="4" r:id="rId4"/>
    <sheet name="önkét2017.finansz." sheetId="5" r:id="rId5"/>
    <sheet name="kötelező2017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'kötelező2017.'!$A$1:$M$45</definedName>
    <definedName name="_xlnm.Print_Area" localSheetId="3">'kötelező2017.felh.'!$A$1:$M$22</definedName>
    <definedName name="_xlnm.Print_Area" localSheetId="5">'kötelező2017.finansz.'!$A$1:$M$17</definedName>
    <definedName name="_xlnm.Print_Area" localSheetId="0">'önként2017.'!$A$1:$L$33</definedName>
    <definedName name="_xlnm.Print_Area" localSheetId="2">'önként2017.felh.'!$A$1:$L$39</definedName>
    <definedName name="_xlnm.Print_Area" localSheetId="4">'önkét2017.finansz.'!$A$1:$L$19</definedName>
  </definedNames>
  <calcPr calcMode="manual" fullCalcOnLoad="1"/>
</workbook>
</file>

<file path=xl/sharedStrings.xml><?xml version="1.0" encoding="utf-8"?>
<sst xmlns="http://schemas.openxmlformats.org/spreadsheetml/2006/main" count="216" uniqueCount="114">
  <si>
    <t>ezer Ft-ban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</si>
  <si>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</si>
  <si>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</si>
  <si>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</si>
  <si>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</si>
  <si>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</si>
  <si>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</si>
  <si>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</si>
  <si>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</si>
  <si>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</si>
  <si>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</si>
  <si>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</si>
  <si>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</si>
  <si>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</si>
  <si>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</si>
  <si>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</si>
  <si>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</si>
  <si>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</si>
  <si>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</si>
  <si>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</si>
  <si>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</si>
  <si>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</si>
  <si>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</si>
  <si>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</si>
  <si>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</si>
  <si>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</si>
  <si>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</si>
  <si>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</si>
  <si>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</si>
  <si>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</si>
  <si>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</si>
  <si>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</si>
  <si>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</si>
  <si>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</si>
  <si>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</si>
  <si>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</si>
  <si>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</si>
  <si>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</si>
  <si>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</si>
  <si>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</si>
  <si>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</si>
  <si>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</si>
  <si>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</si>
  <si>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</si>
  <si>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</si>
  <si>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</si>
  <si>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</si>
  <si>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</si>
  <si>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</si>
  <si>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</si>
  <si>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</si>
  <si>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</si>
  <si>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</si>
  <si>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</si>
  <si>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</si>
  <si>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</si>
  <si>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</si>
  <si>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</si>
  <si>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</si>
  <si>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</si>
  <si>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</si>
  <si>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Egészségügyi és Szoc. Biz. Kiad.</t>
  </si>
  <si>
    <t>Kulturális és tanácsnoki keret kiad.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</si>
  <si>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</si>
  <si>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</si>
  <si>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</si>
  <si>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</si>
  <si>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</si>
  <si>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</si>
  <si>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OEP fin. +átvett pe.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</si>
  <si>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</si>
  <si>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</si>
  <si>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</si>
  <si>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</si>
  <si>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</si>
  <si>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</si>
  <si>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</si>
  <si>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</si>
  <si>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</si>
  <si>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</si>
  <si>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</si>
  <si>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</si>
  <si>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</si>
  <si>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</si>
  <si>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</si>
  <si>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</si>
  <si>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</si>
  <si>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Közbiztonság kiadásai</t>
  </si>
  <si>
    <t>Oktatási Bizottság kiadásai</t>
  </si>
  <si>
    <t>Emberi jogi,Nemz.és Egyházügyi Biz.kiad.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</si>
  <si>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</si>
  <si>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</si>
  <si>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</si>
  <si>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</si>
  <si>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</si>
  <si>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</si>
  <si>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Belföldi értékpapírok kiadásai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</si>
  <si>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</si>
  <si>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</si>
  <si>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</si>
  <si>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</si>
  <si>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</si>
  <si>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</si>
  <si>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felújítási kiadások teljesítése</t>
  </si>
  <si>
    <t>felhalmozási kiadások tejesítése</t>
  </si>
  <si>
    <t xml:space="preserve"> felhalm.pe.átadás teljesítése</t>
  </si>
  <si>
    <t>Kölcsönnyújtás teljesítése</t>
  </si>
  <si>
    <t>felújítási kiadások tejesítése</t>
  </si>
  <si>
    <t>2017. Működési kiadások teljesítése -  Önként vállalt feladatkörök</t>
  </si>
  <si>
    <t>2017. Működési kiadások teljesítése  -  Kötelezően előírt feladatkörök</t>
  </si>
  <si>
    <t>2017. Felhalmozási kiadások teljesítése -  Önként vállalt feladatkörök</t>
  </si>
  <si>
    <t>2017. Felhalmozási kiadások teljesítése  -  Kötelezően előírt feladatkörök</t>
  </si>
  <si>
    <t>2017. Finanszírozási kiadásokteljesítése -  Önként vállalt feladatkörök</t>
  </si>
  <si>
    <t>2017. Finanszírozási kiadások teljesítése  -  Kötelezően előírt feladatkörök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</si>
</sst>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shrinkToFit="1"/>
    </xf>
    <xf numFmtId="3" fontId="9" fillId="0" borderId="16" xfId="0" applyNumberFormat="1" applyFont="1" applyFill="1" applyBorder="1" applyAlignment="1">
      <alignment/>
    </xf>
    <xf numFmtId="0" fontId="12" fillId="0" borderId="15" xfId="0" applyFont="1" applyFill="1" applyBorder="1" applyAlignment="1">
      <alignment shrinkToFit="1"/>
    </xf>
    <xf numFmtId="2" fontId="9" fillId="0" borderId="16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18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1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17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9" xfId="0" applyFont="1" applyFill="1" applyBorder="1" applyAlignment="1">
      <alignment shrinkToFit="1"/>
    </xf>
    <xf numFmtId="172" fontId="10" fillId="0" borderId="11" xfId="0" applyNumberFormat="1" applyFont="1" applyFill="1" applyBorder="1" applyAlignment="1">
      <alignment/>
    </xf>
    <xf numFmtId="172" fontId="10" fillId="0" borderId="13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172" fontId="9" fillId="0" borderId="16" xfId="0" applyNumberFormat="1" applyFont="1" applyFill="1" applyBorder="1" applyAlignment="1">
      <alignment/>
    </xf>
    <xf numFmtId="0" fontId="3" fillId="0" borderId="20" xfId="0" applyFont="1" applyFill="1" applyBorder="1" applyAlignment="1">
      <alignment shrinkToFit="1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172" fontId="10" fillId="0" borderId="13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shrinkToFit="1"/>
    </xf>
    <xf numFmtId="4" fontId="9" fillId="0" borderId="16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shrinkToFit="1"/>
    </xf>
    <xf numFmtId="3" fontId="10" fillId="0" borderId="13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shrinkToFit="1"/>
    </xf>
    <xf numFmtId="3" fontId="10" fillId="0" borderId="22" xfId="0" applyNumberFormat="1" applyFont="1" applyFill="1" applyBorder="1" applyAlignment="1">
      <alignment/>
    </xf>
    <xf numFmtId="172" fontId="10" fillId="0" borderId="22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172" fontId="9" fillId="0" borderId="16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shrinkToFit="1"/>
    </xf>
    <xf numFmtId="3" fontId="10" fillId="0" borderId="23" xfId="0" applyNumberFormat="1" applyFont="1" applyFill="1" applyBorder="1" applyAlignment="1">
      <alignment/>
    </xf>
    <xf numFmtId="172" fontId="10" fillId="0" borderId="23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7" xfId="0" applyFont="1" applyFill="1" applyBorder="1" applyAlignment="1">
      <alignment shrinkToFit="1"/>
    </xf>
    <xf numFmtId="3" fontId="10" fillId="0" borderId="28" xfId="0" applyNumberFormat="1" applyFont="1" applyFill="1" applyBorder="1" applyAlignment="1">
      <alignment/>
    </xf>
    <xf numFmtId="172" fontId="10" fillId="0" borderId="28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shrinkToFit="1"/>
    </xf>
    <xf numFmtId="4" fontId="3" fillId="0" borderId="23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shrinkToFit="1"/>
    </xf>
    <xf numFmtId="3" fontId="10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2" fontId="3" fillId="0" borderId="32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shrinkToFit="1"/>
    </xf>
    <xf numFmtId="4" fontId="3" fillId="0" borderId="13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4" fontId="12" fillId="0" borderId="16" xfId="0" applyNumberFormat="1" applyFont="1" applyFill="1" applyBorder="1" applyAlignment="1">
      <alignment horizontal="right"/>
    </xf>
    <xf numFmtId="2" fontId="12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 shrinkToFit="1"/>
    </xf>
    <xf numFmtId="0" fontId="12" fillId="0" borderId="25" xfId="0" applyFont="1" applyFill="1" applyBorder="1" applyAlignment="1">
      <alignment shrinkToFit="1"/>
    </xf>
    <xf numFmtId="3" fontId="9" fillId="0" borderId="23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2" fontId="12" fillId="0" borderId="26" xfId="0" applyNumberFormat="1" applyFont="1" applyFill="1" applyBorder="1" applyAlignment="1">
      <alignment/>
    </xf>
    <xf numFmtId="2" fontId="12" fillId="0" borderId="33" xfId="0" applyNumberFormat="1" applyFont="1" applyFill="1" applyBorder="1" applyAlignment="1">
      <alignment horizontal="right"/>
    </xf>
    <xf numFmtId="2" fontId="12" fillId="0" borderId="34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172" fontId="10" fillId="0" borderId="23" xfId="0" applyNumberFormat="1" applyFont="1" applyFill="1" applyBorder="1" applyAlignment="1">
      <alignment/>
    </xf>
    <xf numFmtId="172" fontId="10" fillId="0" borderId="22" xfId="0" applyNumberFormat="1" applyFont="1" applyFill="1" applyBorder="1" applyAlignment="1">
      <alignment/>
    </xf>
    <xf numFmtId="0" fontId="12" fillId="0" borderId="15" xfId="0" applyFont="1" applyFill="1" applyBorder="1" applyAlignment="1">
      <alignment shrinkToFit="1"/>
    </xf>
    <xf numFmtId="3" fontId="9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172" fontId="9" fillId="0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172" fontId="10" fillId="0" borderId="28" xfId="0" applyNumberFormat="1" applyFont="1" applyFill="1" applyBorder="1" applyAlignment="1">
      <alignment/>
    </xf>
    <xf numFmtId="2" fontId="10" fillId="0" borderId="28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172" fontId="9" fillId="0" borderId="23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0" fontId="3" fillId="0" borderId="35" xfId="0" applyFont="1" applyFill="1" applyBorder="1" applyAlignment="1">
      <alignment shrinkToFit="1"/>
    </xf>
    <xf numFmtId="1" fontId="9" fillId="0" borderId="16" xfId="0" applyNumberFormat="1" applyFont="1" applyFill="1" applyBorder="1" applyAlignment="1">
      <alignment/>
    </xf>
    <xf numFmtId="0" fontId="12" fillId="0" borderId="35" xfId="0" applyFont="1" applyFill="1" applyBorder="1" applyAlignment="1">
      <alignment shrinkToFit="1"/>
    </xf>
    <xf numFmtId="2" fontId="9" fillId="0" borderId="28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172" fontId="10" fillId="0" borderId="22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4" xfId="0" applyNumberFormat="1" applyFont="1" applyFill="1" applyBorder="1" applyAlignment="1">
      <alignment/>
    </xf>
    <xf numFmtId="172" fontId="9" fillId="0" borderId="28" xfId="0" applyNumberFormat="1" applyFont="1" applyFill="1" applyBorder="1" applyAlignment="1">
      <alignment/>
    </xf>
    <xf numFmtId="0" fontId="12" fillId="0" borderId="25" xfId="0" applyFont="1" applyFill="1" applyBorder="1" applyAlignment="1">
      <alignment shrinkToFit="1"/>
    </xf>
    <xf numFmtId="3" fontId="10" fillId="0" borderId="31" xfId="0" applyNumberFormat="1" applyFont="1" applyFill="1" applyBorder="1" applyAlignment="1">
      <alignment/>
    </xf>
    <xf numFmtId="172" fontId="10" fillId="0" borderId="31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/>
    </xf>
    <xf numFmtId="2" fontId="10" fillId="0" borderId="32" xfId="0" applyNumberFormat="1" applyFont="1" applyFill="1" applyBorder="1" applyAlignment="1">
      <alignment/>
    </xf>
    <xf numFmtId="0" fontId="12" fillId="0" borderId="27" xfId="0" applyFont="1" applyFill="1" applyBorder="1" applyAlignment="1">
      <alignment shrinkToFit="1"/>
    </xf>
    <xf numFmtId="3" fontId="9" fillId="0" borderId="28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0" borderId="32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2" fillId="0" borderId="21" xfId="0" applyFont="1" applyFill="1" applyBorder="1" applyAlignment="1">
      <alignment shrinkToFit="1"/>
    </xf>
    <xf numFmtId="4" fontId="10" fillId="0" borderId="17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2" sqref="A2:L3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63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29"/>
      <c r="B1" s="29"/>
      <c r="C1" s="29"/>
      <c r="D1" s="60"/>
      <c r="E1" s="29"/>
      <c r="F1" s="29"/>
      <c r="G1" s="29"/>
      <c r="H1" s="29"/>
      <c r="I1" s="29"/>
      <c r="J1" s="29"/>
      <c r="K1" s="191" t="s">
        <v>32</v>
      </c>
      <c r="L1" s="191"/>
    </row>
    <row r="2" spans="1:12" ht="12.75">
      <c r="A2" s="192" t="s">
        <v>108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2.7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ht="13.5" thickBot="1">
      <c r="A4" s="48"/>
      <c r="B4" s="48"/>
      <c r="C4" s="48"/>
      <c r="D4" s="61"/>
      <c r="E4" s="32"/>
      <c r="F4" s="33"/>
      <c r="G4" s="32"/>
      <c r="H4" s="33"/>
      <c r="I4" s="33"/>
      <c r="J4" s="33"/>
      <c r="K4" s="34"/>
      <c r="L4" s="43" t="s">
        <v>0</v>
      </c>
    </row>
    <row r="5" spans="1:12" ht="92.25" customHeight="1" thickBot="1">
      <c r="A5" s="30" t="s">
        <v>2</v>
      </c>
      <c r="B5" s="35" t="s">
        <v>73</v>
      </c>
      <c r="C5" s="35" t="s">
        <v>67</v>
      </c>
      <c r="D5" s="36" t="s">
        <v>74</v>
      </c>
      <c r="E5" s="35" t="s">
        <v>63</v>
      </c>
      <c r="F5" s="36" t="s">
        <v>75</v>
      </c>
      <c r="G5" s="35" t="s">
        <v>76</v>
      </c>
      <c r="H5" s="36" t="s">
        <v>77</v>
      </c>
      <c r="I5" s="36" t="s">
        <v>80</v>
      </c>
      <c r="J5" s="36" t="s">
        <v>49</v>
      </c>
      <c r="K5" s="37" t="s">
        <v>78</v>
      </c>
      <c r="L5" s="45" t="s">
        <v>79</v>
      </c>
    </row>
    <row r="6" spans="1:12" ht="12.75">
      <c r="A6" s="14" t="s">
        <v>20</v>
      </c>
      <c r="B6" s="15">
        <f>82113+17973+3400+26767+43700+5010+5815+3063+1650+220157</f>
        <v>409648</v>
      </c>
      <c r="C6" s="15"/>
      <c r="D6" s="75">
        <f>SUM(C6/B6)*100</f>
        <v>0</v>
      </c>
      <c r="E6" s="16"/>
      <c r="F6" s="17">
        <f aca="true" t="shared" si="0" ref="F6:F18">SUM(E6/B6)*100</f>
        <v>0</v>
      </c>
      <c r="G6" s="16"/>
      <c r="H6" s="17">
        <f>SUM(G6/B6*100)</f>
        <v>0</v>
      </c>
      <c r="I6" s="16">
        <f>1202+300+314+970</f>
        <v>2786</v>
      </c>
      <c r="J6" s="17">
        <f>SUM(I6/B6*100)</f>
        <v>0.6800960824903332</v>
      </c>
      <c r="K6" s="20">
        <f>SUM(B6-C6-E6-G6-I6)</f>
        <v>406862</v>
      </c>
      <c r="L6" s="18">
        <f>SUM(K6/B6)*100</f>
        <v>99.31990391750966</v>
      </c>
    </row>
    <row r="7" spans="1:12" ht="12.75">
      <c r="A7" s="14" t="s">
        <v>21</v>
      </c>
      <c r="B7" s="19">
        <v>2187303</v>
      </c>
      <c r="C7" s="19">
        <f>461745+2+821686</f>
        <v>1283433</v>
      </c>
      <c r="D7" s="76">
        <f>SUM(C7/B7)*100</f>
        <v>58.67650709572474</v>
      </c>
      <c r="E7" s="20"/>
      <c r="F7" s="21">
        <f t="shared" si="0"/>
        <v>0</v>
      </c>
      <c r="G7" s="20"/>
      <c r="H7" s="21">
        <f>SUM(G7/B7*100)</f>
        <v>0</v>
      </c>
      <c r="I7" s="20">
        <f>33405+16044-9000+43940</f>
        <v>84389</v>
      </c>
      <c r="J7" s="17">
        <f aca="true" t="shared" si="1" ref="J7:J30">SUM(I7/B7*100)</f>
        <v>3.8581303093352863</v>
      </c>
      <c r="K7" s="20">
        <f>SUM(B7-C7-E7-G7-I7)</f>
        <v>819481</v>
      </c>
      <c r="L7" s="22">
        <f>SUM(K7/B7)*100</f>
        <v>37.465362594939975</v>
      </c>
    </row>
    <row r="8" spans="1:12" ht="12.75">
      <c r="A8" s="77" t="s">
        <v>59</v>
      </c>
      <c r="B8" s="19">
        <f>603838-'kötelező2017.'!C12-B33</f>
        <v>301608</v>
      </c>
      <c r="C8" s="19"/>
      <c r="D8" s="76">
        <f>SUM(C8/B8)*100</f>
        <v>0</v>
      </c>
      <c r="E8" s="20"/>
      <c r="F8" s="21">
        <f t="shared" si="0"/>
        <v>0</v>
      </c>
      <c r="G8" s="20"/>
      <c r="H8" s="21">
        <f>SUM(G8/B8*100)</f>
        <v>0</v>
      </c>
      <c r="I8" s="20">
        <f>482+10728+9105</f>
        <v>20315</v>
      </c>
      <c r="J8" s="17">
        <f t="shared" si="1"/>
        <v>6.735564043394074</v>
      </c>
      <c r="K8" s="20">
        <f>SUM(B8-C8-E8-G8-I8)</f>
        <v>281293</v>
      </c>
      <c r="L8" s="22">
        <f>SUM(K8/B8)*100</f>
        <v>93.26443595660592</v>
      </c>
    </row>
    <row r="9" spans="1:14" ht="12.75">
      <c r="A9" s="77" t="s">
        <v>61</v>
      </c>
      <c r="B9" s="19">
        <f>4564+800</f>
        <v>5364</v>
      </c>
      <c r="C9" s="19"/>
      <c r="D9" s="76">
        <f aca="true" t="shared" si="2" ref="D9:D15">SUM(C9/B9)*100</f>
        <v>0</v>
      </c>
      <c r="E9" s="20"/>
      <c r="F9" s="21">
        <f aca="true" t="shared" si="3" ref="F9:F15">SUM(E9/B9)*100</f>
        <v>0</v>
      </c>
      <c r="G9" s="20"/>
      <c r="H9" s="21">
        <f aca="true" t="shared" si="4" ref="H9:H15">SUM(G9/B9*100)</f>
        <v>0</v>
      </c>
      <c r="I9" s="20">
        <v>300</v>
      </c>
      <c r="J9" s="17">
        <f aca="true" t="shared" si="5" ref="J9:J15">SUM(I9/B9*100)</f>
        <v>5.592841163310962</v>
      </c>
      <c r="K9" s="20">
        <f aca="true" t="shared" si="6" ref="K9:K15">SUM(B9-C9-E9-G9-I9)</f>
        <v>5064</v>
      </c>
      <c r="L9" s="22">
        <f aca="true" t="shared" si="7" ref="L9:L15">SUM(K9/B9)*100</f>
        <v>94.40715883668904</v>
      </c>
      <c r="N9" s="3"/>
    </row>
    <row r="10" spans="1:12" ht="12.75">
      <c r="A10" s="77" t="s">
        <v>87</v>
      </c>
      <c r="B10" s="19">
        <f>21617+24000</f>
        <v>45617</v>
      </c>
      <c r="C10" s="19"/>
      <c r="D10" s="76">
        <f t="shared" si="2"/>
        <v>0</v>
      </c>
      <c r="E10" s="20"/>
      <c r="F10" s="21">
        <f t="shared" si="3"/>
        <v>0</v>
      </c>
      <c r="G10" s="20"/>
      <c r="H10" s="21">
        <f t="shared" si="4"/>
        <v>0</v>
      </c>
      <c r="I10" s="20">
        <v>133</v>
      </c>
      <c r="J10" s="17">
        <f t="shared" si="5"/>
        <v>0.2915579718087555</v>
      </c>
      <c r="K10" s="20">
        <f t="shared" si="6"/>
        <v>45484</v>
      </c>
      <c r="L10" s="22">
        <f t="shared" si="7"/>
        <v>99.70844202819124</v>
      </c>
    </row>
    <row r="11" spans="1:14" ht="12.75">
      <c r="A11" s="77" t="s">
        <v>16</v>
      </c>
      <c r="B11" s="19">
        <v>85000</v>
      </c>
      <c r="C11" s="19"/>
      <c r="D11" s="76">
        <f t="shared" si="2"/>
        <v>0</v>
      </c>
      <c r="E11" s="20"/>
      <c r="F11" s="21">
        <f t="shared" si="3"/>
        <v>0</v>
      </c>
      <c r="G11" s="20"/>
      <c r="H11" s="21">
        <f t="shared" si="4"/>
        <v>0</v>
      </c>
      <c r="I11" s="20"/>
      <c r="J11" s="17">
        <f t="shared" si="5"/>
        <v>0</v>
      </c>
      <c r="K11" s="20">
        <f t="shared" si="6"/>
        <v>85000</v>
      </c>
      <c r="L11" s="22">
        <f t="shared" si="7"/>
        <v>100</v>
      </c>
      <c r="N11" s="3"/>
    </row>
    <row r="12" spans="1:12" ht="12.75">
      <c r="A12" s="77" t="s">
        <v>17</v>
      </c>
      <c r="B12" s="19">
        <v>68945</v>
      </c>
      <c r="C12" s="19"/>
      <c r="D12" s="76">
        <f t="shared" si="2"/>
        <v>0</v>
      </c>
      <c r="E12" s="20"/>
      <c r="F12" s="21">
        <f t="shared" si="3"/>
        <v>0</v>
      </c>
      <c r="G12" s="20"/>
      <c r="H12" s="21">
        <f t="shared" si="4"/>
        <v>0</v>
      </c>
      <c r="I12" s="20"/>
      <c r="J12" s="17">
        <f t="shared" si="5"/>
        <v>0</v>
      </c>
      <c r="K12" s="20">
        <f t="shared" si="6"/>
        <v>68945</v>
      </c>
      <c r="L12" s="22">
        <f t="shared" si="7"/>
        <v>100</v>
      </c>
    </row>
    <row r="13" spans="1:12" ht="12.75">
      <c r="A13" s="77" t="s">
        <v>88</v>
      </c>
      <c r="B13" s="19">
        <f>1487+10829</f>
        <v>12316</v>
      </c>
      <c r="C13" s="19"/>
      <c r="D13" s="76">
        <f t="shared" si="2"/>
        <v>0</v>
      </c>
      <c r="E13" s="20"/>
      <c r="F13" s="21">
        <f t="shared" si="3"/>
        <v>0</v>
      </c>
      <c r="G13" s="20"/>
      <c r="H13" s="21">
        <f t="shared" si="4"/>
        <v>0</v>
      </c>
      <c r="I13" s="20"/>
      <c r="J13" s="17">
        <f t="shared" si="5"/>
        <v>0</v>
      </c>
      <c r="K13" s="20">
        <f t="shared" si="6"/>
        <v>12316</v>
      </c>
      <c r="L13" s="22">
        <f t="shared" si="7"/>
        <v>100</v>
      </c>
    </row>
    <row r="14" spans="1:12" ht="12.75">
      <c r="A14" s="77" t="s">
        <v>89</v>
      </c>
      <c r="B14" s="19">
        <f>226+4583</f>
        <v>4809</v>
      </c>
      <c r="C14" s="19"/>
      <c r="D14" s="76">
        <f t="shared" si="2"/>
        <v>0</v>
      </c>
      <c r="E14" s="20"/>
      <c r="F14" s="21">
        <f t="shared" si="3"/>
        <v>0</v>
      </c>
      <c r="G14" s="20"/>
      <c r="H14" s="21">
        <f t="shared" si="4"/>
        <v>0</v>
      </c>
      <c r="I14" s="20">
        <v>1183</v>
      </c>
      <c r="J14" s="17">
        <f t="shared" si="5"/>
        <v>24.599708879184863</v>
      </c>
      <c r="K14" s="20">
        <f t="shared" si="6"/>
        <v>3626</v>
      </c>
      <c r="L14" s="22">
        <f t="shared" si="7"/>
        <v>75.40029112081513</v>
      </c>
    </row>
    <row r="15" spans="1:12" ht="12.75">
      <c r="A15" s="77" t="s">
        <v>62</v>
      </c>
      <c r="B15" s="19">
        <f>7489+35566</f>
        <v>43055</v>
      </c>
      <c r="C15" s="19"/>
      <c r="D15" s="76">
        <f t="shared" si="2"/>
        <v>0</v>
      </c>
      <c r="E15" s="20"/>
      <c r="F15" s="21">
        <f t="shared" si="3"/>
        <v>0</v>
      </c>
      <c r="G15" s="20"/>
      <c r="H15" s="21">
        <f t="shared" si="4"/>
        <v>0</v>
      </c>
      <c r="I15" s="20">
        <f>2433+50+5039</f>
        <v>7522</v>
      </c>
      <c r="J15" s="17">
        <f t="shared" si="5"/>
        <v>17.47067704099408</v>
      </c>
      <c r="K15" s="20">
        <f t="shared" si="6"/>
        <v>35533</v>
      </c>
      <c r="L15" s="22">
        <f t="shared" si="7"/>
        <v>82.52932295900592</v>
      </c>
    </row>
    <row r="16" spans="1:12" ht="12.75">
      <c r="A16" s="77" t="s">
        <v>1</v>
      </c>
      <c r="B16" s="19">
        <v>12089</v>
      </c>
      <c r="C16" s="19"/>
      <c r="D16" s="76">
        <f>SUM(C16/B16)*100</f>
        <v>0</v>
      </c>
      <c r="E16" s="20"/>
      <c r="F16" s="21">
        <f t="shared" si="0"/>
        <v>0</v>
      </c>
      <c r="G16" s="20"/>
      <c r="H16" s="21">
        <f>SUM(G16/B16*100)</f>
        <v>0</v>
      </c>
      <c r="I16" s="20"/>
      <c r="J16" s="17">
        <f t="shared" si="1"/>
        <v>0</v>
      </c>
      <c r="K16" s="20">
        <f>SUM(B16-C16-E16-G16-I16)</f>
        <v>12089</v>
      </c>
      <c r="L16" s="22">
        <f>SUM(K16/B16)*100</f>
        <v>100</v>
      </c>
    </row>
    <row r="17" spans="1:12" ht="12.75">
      <c r="A17" s="77" t="s">
        <v>25</v>
      </c>
      <c r="B17" s="19">
        <v>66180</v>
      </c>
      <c r="C17" s="19"/>
      <c r="D17" s="76">
        <f>SUM(C17/B17)*100</f>
        <v>0</v>
      </c>
      <c r="E17" s="20"/>
      <c r="F17" s="21">
        <f t="shared" si="0"/>
        <v>0</v>
      </c>
      <c r="G17" s="20"/>
      <c r="H17" s="21">
        <f>SUM(G17/B17*100)</f>
        <v>0</v>
      </c>
      <c r="I17" s="20"/>
      <c r="J17" s="17">
        <f t="shared" si="1"/>
        <v>0</v>
      </c>
      <c r="K17" s="20">
        <f>SUM(B17-C17-E17-G17-I17)</f>
        <v>66180</v>
      </c>
      <c r="L17" s="22">
        <f>SUM(K17/B17)*100</f>
        <v>100</v>
      </c>
    </row>
    <row r="18" spans="1:12" ht="13.5" thickBot="1">
      <c r="A18" s="77" t="s">
        <v>26</v>
      </c>
      <c r="B18" s="19">
        <f>464512-'kötelező2017.'!C6</f>
        <v>389177</v>
      </c>
      <c r="C18" s="19"/>
      <c r="D18" s="76">
        <f>SUM(C18/B18)*100</f>
        <v>0</v>
      </c>
      <c r="E18" s="20"/>
      <c r="F18" s="21">
        <f t="shared" si="0"/>
        <v>0</v>
      </c>
      <c r="G18" s="20"/>
      <c r="H18" s="21">
        <f>SUM(G18/B18*100)</f>
        <v>0</v>
      </c>
      <c r="I18" s="20">
        <f>79815-33405-32300+16986</f>
        <v>31096</v>
      </c>
      <c r="J18" s="17">
        <f t="shared" si="1"/>
        <v>7.99019469290323</v>
      </c>
      <c r="K18" s="20">
        <f>SUM(B18-C18-E18-G18-I18)</f>
        <v>358081</v>
      </c>
      <c r="L18" s="22">
        <f>SUM(K18/B18)*100</f>
        <v>92.00980530709677</v>
      </c>
    </row>
    <row r="19" spans="1:12" s="28" customFormat="1" ht="13.5" thickBot="1">
      <c r="A19" s="25" t="s">
        <v>40</v>
      </c>
      <c r="B19" s="24">
        <f>SUM(B6:B18)</f>
        <v>3631111</v>
      </c>
      <c r="C19" s="24">
        <f>SUM(C6:C18)</f>
        <v>1283433</v>
      </c>
      <c r="D19" s="78">
        <f>SUM(C19/B19)*100</f>
        <v>35.34546313786607</v>
      </c>
      <c r="E19" s="24">
        <f>SUM(E6:E18)</f>
        <v>0</v>
      </c>
      <c r="F19" s="47">
        <f>SUM(E19/B19*100)</f>
        <v>0</v>
      </c>
      <c r="G19" s="24">
        <f>SUM(G6:G18)</f>
        <v>0</v>
      </c>
      <c r="H19" s="26">
        <f>SUM(G19/B19*100)</f>
        <v>0</v>
      </c>
      <c r="I19" s="24">
        <f>SUM(I6:I18)</f>
        <v>147724</v>
      </c>
      <c r="J19" s="26">
        <f t="shared" si="1"/>
        <v>4.068286538197262</v>
      </c>
      <c r="K19" s="24">
        <f>SUM(K6:K18)</f>
        <v>2199954</v>
      </c>
      <c r="L19" s="31">
        <f>SUM(K19/B19)*100</f>
        <v>60.58625032393666</v>
      </c>
    </row>
    <row r="20" spans="1:12" ht="12.75">
      <c r="A20" s="79" t="s">
        <v>22</v>
      </c>
      <c r="B20" s="15">
        <v>38257</v>
      </c>
      <c r="C20" s="15">
        <v>456</v>
      </c>
      <c r="D20" s="75">
        <f aca="true" t="shared" si="8" ref="D20:D30">SUM(C20/B20)*100</f>
        <v>1.1919387301670283</v>
      </c>
      <c r="E20" s="80">
        <v>401</v>
      </c>
      <c r="F20" s="17">
        <f aca="true" t="shared" si="9" ref="F20:F30">SUM(E20/B20)*100</f>
        <v>1.0481741903442507</v>
      </c>
      <c r="G20" s="80">
        <v>88217</v>
      </c>
      <c r="H20" s="17">
        <f aca="true" t="shared" si="10" ref="H20:H26">SUM(G20/B20*100)</f>
        <v>230.59048017356304</v>
      </c>
      <c r="I20" s="16">
        <v>3598</v>
      </c>
      <c r="J20" s="17">
        <f t="shared" si="1"/>
        <v>9.404814805133702</v>
      </c>
      <c r="K20" s="16">
        <f aca="true" t="shared" si="11" ref="K20:K25">SUM(B20-C20-E20-G20-I20)</f>
        <v>-54415</v>
      </c>
      <c r="L20" s="18">
        <f aca="true" t="shared" si="12" ref="L20:L28">SUM(K20/B20)*100</f>
        <v>-142.23540789920798</v>
      </c>
    </row>
    <row r="21" spans="1:12" ht="12.75">
      <c r="A21" s="81" t="s">
        <v>34</v>
      </c>
      <c r="B21" s="19">
        <v>866358</v>
      </c>
      <c r="C21" s="19">
        <v>66949</v>
      </c>
      <c r="D21" s="76">
        <f t="shared" si="8"/>
        <v>7.727636842967918</v>
      </c>
      <c r="E21" s="82">
        <f>6461-249</f>
        <v>6212</v>
      </c>
      <c r="F21" s="21">
        <f t="shared" si="9"/>
        <v>0.7170246018389627</v>
      </c>
      <c r="G21" s="82">
        <v>599666</v>
      </c>
      <c r="H21" s="21">
        <f t="shared" si="10"/>
        <v>69.21688262819758</v>
      </c>
      <c r="I21" s="16">
        <f>51656-15453</f>
        <v>36203</v>
      </c>
      <c r="J21" s="17">
        <f t="shared" si="1"/>
        <v>4.178757511329035</v>
      </c>
      <c r="K21" s="16">
        <f t="shared" si="11"/>
        <v>157328</v>
      </c>
      <c r="L21" s="22">
        <f t="shared" si="12"/>
        <v>18.159698415666504</v>
      </c>
    </row>
    <row r="22" spans="1:12" ht="12.75">
      <c r="A22" s="81" t="s">
        <v>23</v>
      </c>
      <c r="B22" s="19">
        <v>111159</v>
      </c>
      <c r="C22" s="19">
        <v>14718</v>
      </c>
      <c r="D22" s="76">
        <f t="shared" si="8"/>
        <v>13.240493347367286</v>
      </c>
      <c r="E22" s="82">
        <v>318</v>
      </c>
      <c r="F22" s="21">
        <f t="shared" si="9"/>
        <v>0.2860767009418941</v>
      </c>
      <c r="G22" s="82">
        <v>57484</v>
      </c>
      <c r="H22" s="21">
        <f t="shared" si="10"/>
        <v>51.71331156271647</v>
      </c>
      <c r="I22" s="16">
        <v>2399</v>
      </c>
      <c r="J22" s="17">
        <f t="shared" si="1"/>
        <v>2.1581698288037856</v>
      </c>
      <c r="K22" s="16">
        <f t="shared" si="11"/>
        <v>36240</v>
      </c>
      <c r="L22" s="22">
        <f t="shared" si="12"/>
        <v>32.60194856017057</v>
      </c>
    </row>
    <row r="23" spans="1:12" ht="12.75">
      <c r="A23" s="81" t="s">
        <v>24</v>
      </c>
      <c r="B23" s="19">
        <v>66187</v>
      </c>
      <c r="C23" s="19">
        <v>12016</v>
      </c>
      <c r="D23" s="76">
        <f t="shared" si="8"/>
        <v>18.15462250895191</v>
      </c>
      <c r="E23" s="82">
        <v>323</v>
      </c>
      <c r="F23" s="21">
        <f t="shared" si="9"/>
        <v>0.48801124087811804</v>
      </c>
      <c r="G23" s="82">
        <v>55920</v>
      </c>
      <c r="H23" s="21">
        <f t="shared" si="10"/>
        <v>84.48789037122093</v>
      </c>
      <c r="I23" s="16">
        <v>192</v>
      </c>
      <c r="J23" s="17">
        <f t="shared" si="1"/>
        <v>0.2900871772402436</v>
      </c>
      <c r="K23" s="16">
        <f t="shared" si="11"/>
        <v>-2264</v>
      </c>
      <c r="L23" s="22">
        <f t="shared" si="12"/>
        <v>-3.4206112982912056</v>
      </c>
    </row>
    <row r="24" spans="1:12" ht="12.75">
      <c r="A24" s="81" t="s">
        <v>35</v>
      </c>
      <c r="B24" s="19">
        <v>27331</v>
      </c>
      <c r="C24" s="19">
        <v>28622</v>
      </c>
      <c r="D24" s="76">
        <f t="shared" si="8"/>
        <v>104.72357396363104</v>
      </c>
      <c r="E24" s="82"/>
      <c r="F24" s="21">
        <f t="shared" si="9"/>
        <v>0</v>
      </c>
      <c r="G24" s="82">
        <v>0</v>
      </c>
      <c r="H24" s="21">
        <f t="shared" si="10"/>
        <v>0</v>
      </c>
      <c r="I24" s="16"/>
      <c r="J24" s="17">
        <f t="shared" si="1"/>
        <v>0</v>
      </c>
      <c r="K24" s="16">
        <f t="shared" si="11"/>
        <v>-1291</v>
      </c>
      <c r="L24" s="22">
        <f t="shared" si="12"/>
        <v>-4.723573963631042</v>
      </c>
    </row>
    <row r="25" spans="1:12" ht="13.5" thickBot="1">
      <c r="A25" s="83" t="s">
        <v>36</v>
      </c>
      <c r="B25" s="84">
        <v>87885</v>
      </c>
      <c r="C25" s="84">
        <v>95</v>
      </c>
      <c r="D25" s="85">
        <f t="shared" si="8"/>
        <v>0.1080958070205382</v>
      </c>
      <c r="E25" s="86">
        <v>50</v>
      </c>
      <c r="F25" s="87">
        <f t="shared" si="9"/>
        <v>0.05689253001080958</v>
      </c>
      <c r="G25" s="86">
        <v>9581</v>
      </c>
      <c r="H25" s="87">
        <f t="shared" si="10"/>
        <v>10.901746600671332</v>
      </c>
      <c r="I25" s="88">
        <v>600</v>
      </c>
      <c r="J25" s="17">
        <f t="shared" si="1"/>
        <v>0.682710360129715</v>
      </c>
      <c r="K25" s="16">
        <f t="shared" si="11"/>
        <v>77559</v>
      </c>
      <c r="L25" s="89">
        <f t="shared" si="12"/>
        <v>88.2505547021676</v>
      </c>
    </row>
    <row r="26" spans="1:12" s="28" customFormat="1" ht="13.5" thickBot="1">
      <c r="A26" s="23" t="s">
        <v>44</v>
      </c>
      <c r="B26" s="24">
        <f>SUM(B20:B25)</f>
        <v>1197177</v>
      </c>
      <c r="C26" s="24">
        <f aca="true" t="shared" si="13" ref="C26:K26">SUM(C20:C25)</f>
        <v>122856</v>
      </c>
      <c r="D26" s="90">
        <f t="shared" si="8"/>
        <v>10.262141688321776</v>
      </c>
      <c r="E26" s="24">
        <f t="shared" si="13"/>
        <v>7304</v>
      </c>
      <c r="F26" s="26">
        <f t="shared" si="9"/>
        <v>0.6101019314604273</v>
      </c>
      <c r="G26" s="24">
        <f t="shared" si="13"/>
        <v>810868</v>
      </c>
      <c r="H26" s="26">
        <f t="shared" si="10"/>
        <v>67.7316720919296</v>
      </c>
      <c r="I26" s="24">
        <f>SUM(I20:I25)</f>
        <v>42992</v>
      </c>
      <c r="J26" s="26">
        <f t="shared" si="1"/>
        <v>3.591114764149328</v>
      </c>
      <c r="K26" s="24">
        <f t="shared" si="13"/>
        <v>213157</v>
      </c>
      <c r="L26" s="31">
        <f t="shared" si="12"/>
        <v>17.80496952413887</v>
      </c>
    </row>
    <row r="27" spans="1:12" s="96" customFormat="1" ht="12.75">
      <c r="A27" s="91" t="s">
        <v>56</v>
      </c>
      <c r="B27" s="92">
        <f>43000+128820+19273+833+19400+300-1004+32</f>
        <v>210654</v>
      </c>
      <c r="C27" s="92"/>
      <c r="D27" s="93">
        <f t="shared" si="8"/>
        <v>0</v>
      </c>
      <c r="E27" s="92"/>
      <c r="F27" s="94">
        <f t="shared" si="9"/>
        <v>0</v>
      </c>
      <c r="G27" s="92"/>
      <c r="H27" s="94">
        <f>SUM(G27/B27*100)</f>
        <v>0</v>
      </c>
      <c r="I27" s="92">
        <v>28503</v>
      </c>
      <c r="J27" s="94">
        <f t="shared" si="1"/>
        <v>13.530718619157481</v>
      </c>
      <c r="K27" s="88">
        <f>SUM(B27-C27-E27-G27-I27)</f>
        <v>182151</v>
      </c>
      <c r="L27" s="95">
        <f t="shared" si="12"/>
        <v>86.46928138084252</v>
      </c>
    </row>
    <row r="28" spans="1:13" ht="13.5" thickBot="1">
      <c r="A28" s="97" t="s">
        <v>37</v>
      </c>
      <c r="B28" s="98">
        <v>2550</v>
      </c>
      <c r="C28" s="98"/>
      <c r="D28" s="99">
        <f t="shared" si="8"/>
        <v>0</v>
      </c>
      <c r="E28" s="100"/>
      <c r="F28" s="101">
        <f t="shared" si="9"/>
        <v>0</v>
      </c>
      <c r="G28" s="100"/>
      <c r="H28" s="101">
        <f>SUM(G28/B28*100)</f>
        <v>0</v>
      </c>
      <c r="I28" s="100"/>
      <c r="J28" s="101">
        <f t="shared" si="1"/>
        <v>0</v>
      </c>
      <c r="K28" s="100">
        <f>SUM(B28-C28-E28-G28-I28)</f>
        <v>2550</v>
      </c>
      <c r="L28" s="102">
        <f t="shared" si="12"/>
        <v>100</v>
      </c>
      <c r="M28" s="3"/>
    </row>
    <row r="29" spans="1:13" s="28" customFormat="1" ht="13.5" thickBot="1">
      <c r="A29" s="25" t="s">
        <v>41</v>
      </c>
      <c r="B29" s="24">
        <f>SUM(B27:B28)</f>
        <v>213204</v>
      </c>
      <c r="C29" s="24">
        <f>SUM(C27:C28)</f>
        <v>0</v>
      </c>
      <c r="D29" s="90">
        <f t="shared" si="8"/>
        <v>0</v>
      </c>
      <c r="E29" s="24">
        <f>SUM(E28)</f>
        <v>0</v>
      </c>
      <c r="F29" s="26">
        <f t="shared" si="9"/>
        <v>0</v>
      </c>
      <c r="G29" s="24">
        <f>SUM(G27:G28)</f>
        <v>0</v>
      </c>
      <c r="H29" s="26">
        <f>SUM(H28)</f>
        <v>0</v>
      </c>
      <c r="I29" s="24">
        <f>SUM(I27:I28)</f>
        <v>28503</v>
      </c>
      <c r="J29" s="26">
        <f t="shared" si="1"/>
        <v>13.36888613722069</v>
      </c>
      <c r="K29" s="24">
        <f>SUM(K27:K28)</f>
        <v>184701</v>
      </c>
      <c r="L29" s="31">
        <f>SUM(L28)</f>
        <v>100</v>
      </c>
      <c r="M29" s="103"/>
    </row>
    <row r="30" spans="1:12" s="28" customFormat="1" ht="13.5" thickBot="1">
      <c r="A30" s="23" t="s">
        <v>19</v>
      </c>
      <c r="B30" s="24">
        <f>SUM(B29,B26,B19)</f>
        <v>5041492</v>
      </c>
      <c r="C30" s="24">
        <f>SUM(C29,C26,C19)</f>
        <v>1406289</v>
      </c>
      <c r="D30" s="90">
        <f t="shared" si="8"/>
        <v>27.894301924906355</v>
      </c>
      <c r="E30" s="24">
        <f>SUM(E29,E26,E19)</f>
        <v>7304</v>
      </c>
      <c r="F30" s="26">
        <f t="shared" si="9"/>
        <v>0.1448777465083749</v>
      </c>
      <c r="G30" s="24">
        <f>SUM(G29,G26,G19)</f>
        <v>810868</v>
      </c>
      <c r="H30" s="26">
        <f>SUM(G30/B30*100)</f>
        <v>16.083889451773402</v>
      </c>
      <c r="I30" s="24">
        <f>SUM(I29,I26,I19)</f>
        <v>219219</v>
      </c>
      <c r="J30" s="26">
        <f t="shared" si="1"/>
        <v>4.348296099646691</v>
      </c>
      <c r="K30" s="24">
        <f>SUM(K29,K26,K19)</f>
        <v>2597812</v>
      </c>
      <c r="L30" s="31">
        <f>SUM(K30/B30)*100</f>
        <v>51.52863477716517</v>
      </c>
    </row>
    <row r="31" spans="3:11" ht="12.75">
      <c r="C31" s="6"/>
      <c r="D31" s="62"/>
      <c r="E31" s="3"/>
      <c r="F31" s="2"/>
      <c r="G31" s="3"/>
      <c r="H31" s="2"/>
      <c r="I31" s="2"/>
      <c r="J31" s="2"/>
      <c r="K31" s="6"/>
    </row>
    <row r="32" spans="1:7" s="3" customFormat="1" ht="13.5" thickBot="1">
      <c r="A32" s="52" t="s">
        <v>57</v>
      </c>
      <c r="D32" s="74"/>
      <c r="G32" s="38"/>
    </row>
    <row r="33" spans="1:12" s="3" customFormat="1" ht="13.5" thickBot="1">
      <c r="A33" s="104" t="s">
        <v>58</v>
      </c>
      <c r="B33" s="105">
        <v>32400</v>
      </c>
      <c r="C33" s="105">
        <v>32400</v>
      </c>
      <c r="D33" s="106">
        <f>SUM(C33/B33)*100</f>
        <v>100</v>
      </c>
      <c r="E33" s="105"/>
      <c r="F33" s="105">
        <f>SUM(E33/B33)*100</f>
        <v>0</v>
      </c>
      <c r="G33" s="107"/>
      <c r="H33" s="105">
        <f>SUM(G33/B33*100)</f>
        <v>0</v>
      </c>
      <c r="I33" s="105"/>
      <c r="J33" s="105">
        <f>SUM(I33/B33*100)</f>
        <v>0</v>
      </c>
      <c r="K33" s="105">
        <f>SUM(B33-C33-E33-G33-I33)</f>
        <v>0</v>
      </c>
      <c r="L33" s="108">
        <f>SUM(K33/B33)*100</f>
        <v>0</v>
      </c>
    </row>
    <row r="34" spans="4:7" s="3" customFormat="1" ht="12.75">
      <c r="D34" s="74"/>
      <c r="G34" s="38"/>
    </row>
    <row r="35" s="3" customFormat="1" ht="12.75">
      <c r="D35" s="74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PageLayoutView="0" workbookViewId="0" topLeftCell="B1">
      <selection activeCell="A2" sqref="A2:M3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375" style="3" customWidth="1"/>
    <col min="4" max="4" width="9.7539062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49" customWidth="1"/>
    <col min="9" max="9" width="8.375" style="53" customWidth="1"/>
    <col min="10" max="10" width="9.75390625" style="5" customWidth="1"/>
    <col min="11" max="11" width="10.00390625" style="57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194" t="s">
        <v>31</v>
      </c>
      <c r="M1" s="194"/>
    </row>
    <row r="2" spans="2:13" ht="14.25" customHeight="1">
      <c r="B2" s="193" t="s">
        <v>109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2:13" ht="12" customHeight="1" thickBot="1">
      <c r="B3" s="29"/>
      <c r="C3" s="38"/>
      <c r="D3" s="38"/>
      <c r="E3" s="39"/>
      <c r="F3" s="38"/>
      <c r="G3" s="40"/>
      <c r="H3" s="50"/>
      <c r="I3" s="54"/>
      <c r="J3" s="41"/>
      <c r="K3" s="58"/>
      <c r="L3" s="42"/>
      <c r="M3" s="43" t="s">
        <v>0</v>
      </c>
    </row>
    <row r="4" spans="2:13" s="46" customFormat="1" ht="41.25" customHeight="1" thickBot="1">
      <c r="B4" s="30" t="s">
        <v>2</v>
      </c>
      <c r="C4" s="35" t="s">
        <v>68</v>
      </c>
      <c r="D4" s="35" t="s">
        <v>67</v>
      </c>
      <c r="E4" s="36" t="s">
        <v>66</v>
      </c>
      <c r="F4" s="35" t="s">
        <v>65</v>
      </c>
      <c r="G4" s="44" t="s">
        <v>64</v>
      </c>
      <c r="H4" s="35" t="s">
        <v>69</v>
      </c>
      <c r="I4" s="44" t="s">
        <v>70</v>
      </c>
      <c r="J4" s="36" t="s">
        <v>60</v>
      </c>
      <c r="K4" s="36" t="s">
        <v>49</v>
      </c>
      <c r="L4" s="37" t="s">
        <v>71</v>
      </c>
      <c r="M4" s="45" t="s">
        <v>72</v>
      </c>
    </row>
    <row r="5" spans="2:13" ht="12" customHeight="1">
      <c r="B5" s="77" t="s">
        <v>38</v>
      </c>
      <c r="C5" s="19">
        <v>51526</v>
      </c>
      <c r="D5" s="20"/>
      <c r="E5" s="21">
        <f>SUM(D5/C5)*100</f>
        <v>0</v>
      </c>
      <c r="F5" s="20"/>
      <c r="G5" s="17">
        <f>SUM(F5/C5)*100</f>
        <v>0</v>
      </c>
      <c r="H5" s="20"/>
      <c r="I5" s="55">
        <f aca="true" t="shared" si="0" ref="I5:I20">SUM(H5/C5)*100</f>
        <v>0</v>
      </c>
      <c r="J5" s="16">
        <v>2292</v>
      </c>
      <c r="K5" s="17">
        <f aca="true" t="shared" si="1" ref="K5:K20">SUM(J5/C5)*100</f>
        <v>4.44823972363467</v>
      </c>
      <c r="L5" s="16">
        <f aca="true" t="shared" si="2" ref="L5:L14">SUM(C5-D5-F5-H5-J5)</f>
        <v>49234</v>
      </c>
      <c r="M5" s="22">
        <f>SUM(L5/C5)*100</f>
        <v>95.55176027636533</v>
      </c>
    </row>
    <row r="6" spans="2:13" ht="12" customHeight="1">
      <c r="B6" s="77" t="s">
        <v>4</v>
      </c>
      <c r="C6" s="19">
        <v>75335</v>
      </c>
      <c r="D6" s="20"/>
      <c r="E6" s="21">
        <f>SUM(D6/C6)*100</f>
        <v>0</v>
      </c>
      <c r="F6" s="20">
        <v>208</v>
      </c>
      <c r="G6" s="17">
        <f>SUM(F6/C6)*100</f>
        <v>0.27610008628127697</v>
      </c>
      <c r="H6" s="20">
        <v>85</v>
      </c>
      <c r="I6" s="55">
        <f t="shared" si="0"/>
        <v>0.1128293621822526</v>
      </c>
      <c r="J6" s="16"/>
      <c r="K6" s="17">
        <f t="shared" si="1"/>
        <v>0</v>
      </c>
      <c r="L6" s="16">
        <f t="shared" si="2"/>
        <v>75042</v>
      </c>
      <c r="M6" s="22">
        <f>SUM(L6/C6)*100</f>
        <v>99.61107055153647</v>
      </c>
    </row>
    <row r="7" spans="2:13" ht="12" customHeight="1">
      <c r="B7" s="77" t="s">
        <v>5</v>
      </c>
      <c r="C7" s="19">
        <v>265000</v>
      </c>
      <c r="D7" s="20"/>
      <c r="E7" s="21">
        <f>SUM(D7/C7)*100</f>
        <v>0</v>
      </c>
      <c r="F7" s="20">
        <v>10466</v>
      </c>
      <c r="G7" s="17">
        <f>SUM(F7/C7)*100</f>
        <v>3.949433962264151</v>
      </c>
      <c r="H7" s="20"/>
      <c r="I7" s="55">
        <f t="shared" si="0"/>
        <v>0</v>
      </c>
      <c r="J7" s="16"/>
      <c r="K7" s="17">
        <f t="shared" si="1"/>
        <v>0</v>
      </c>
      <c r="L7" s="16">
        <f t="shared" si="2"/>
        <v>254534</v>
      </c>
      <c r="M7" s="22">
        <f>SUM(L7/C7)*100</f>
        <v>96.05056603773585</v>
      </c>
    </row>
    <row r="8" spans="2:13" ht="12" customHeight="1">
      <c r="B8" s="77" t="s">
        <v>15</v>
      </c>
      <c r="C8" s="19">
        <v>210855</v>
      </c>
      <c r="D8" s="20"/>
      <c r="E8" s="21">
        <f aca="true" t="shared" si="3" ref="E8:E15">SUM(D8/C8)*100</f>
        <v>0</v>
      </c>
      <c r="F8" s="20"/>
      <c r="G8" s="21">
        <f aca="true" t="shared" si="4" ref="G8:G15">SUM(F8/C8)*100</f>
        <v>0</v>
      </c>
      <c r="H8" s="20"/>
      <c r="I8" s="55">
        <f t="shared" si="0"/>
        <v>0</v>
      </c>
      <c r="J8" s="16"/>
      <c r="K8" s="17">
        <f t="shared" si="1"/>
        <v>0</v>
      </c>
      <c r="L8" s="16">
        <f t="shared" si="2"/>
        <v>210855</v>
      </c>
      <c r="M8" s="22">
        <f aca="true" t="shared" si="5" ref="M8:M15">SUM(L8/C8)*100</f>
        <v>100</v>
      </c>
    </row>
    <row r="9" spans="2:13" ht="12" customHeight="1">
      <c r="B9" s="77" t="s">
        <v>16</v>
      </c>
      <c r="C9" s="19">
        <f>566141-'önként2017.'!B11</f>
        <v>481141</v>
      </c>
      <c r="D9" s="20"/>
      <c r="E9" s="21">
        <f t="shared" si="3"/>
        <v>0</v>
      </c>
      <c r="F9" s="20"/>
      <c r="G9" s="21">
        <f t="shared" si="4"/>
        <v>0</v>
      </c>
      <c r="H9" s="20"/>
      <c r="I9" s="55">
        <f t="shared" si="0"/>
        <v>0</v>
      </c>
      <c r="J9" s="16">
        <v>71809</v>
      </c>
      <c r="K9" s="17">
        <f t="shared" si="1"/>
        <v>14.924731004009221</v>
      </c>
      <c r="L9" s="16">
        <f t="shared" si="2"/>
        <v>409332</v>
      </c>
      <c r="M9" s="22">
        <f t="shared" si="5"/>
        <v>85.07526899599078</v>
      </c>
    </row>
    <row r="10" spans="2:13" ht="12" customHeight="1">
      <c r="B10" s="77" t="s">
        <v>17</v>
      </c>
      <c r="C10" s="19">
        <f>500261-'önként2017.'!B12</f>
        <v>431316</v>
      </c>
      <c r="D10" s="20"/>
      <c r="E10" s="21">
        <f t="shared" si="3"/>
        <v>0</v>
      </c>
      <c r="F10" s="20"/>
      <c r="G10" s="21">
        <f t="shared" si="4"/>
        <v>0</v>
      </c>
      <c r="H10" s="20"/>
      <c r="I10" s="55">
        <f t="shared" si="0"/>
        <v>0</v>
      </c>
      <c r="J10" s="16"/>
      <c r="K10" s="17">
        <f t="shared" si="1"/>
        <v>0</v>
      </c>
      <c r="L10" s="16">
        <f t="shared" si="2"/>
        <v>431316</v>
      </c>
      <c r="M10" s="22">
        <f t="shared" si="5"/>
        <v>100</v>
      </c>
    </row>
    <row r="11" spans="2:13" ht="12" customHeight="1">
      <c r="B11" s="77" t="s">
        <v>18</v>
      </c>
      <c r="C11" s="19">
        <f>3247006-'önként2017.'!B7</f>
        <v>1059703</v>
      </c>
      <c r="D11" s="20">
        <f>1840089-821686</f>
        <v>1018403</v>
      </c>
      <c r="E11" s="21">
        <f t="shared" si="3"/>
        <v>96.10268160041068</v>
      </c>
      <c r="F11" s="20"/>
      <c r="G11" s="21">
        <f t="shared" si="4"/>
        <v>0</v>
      </c>
      <c r="H11" s="20"/>
      <c r="I11" s="55">
        <f t="shared" si="0"/>
        <v>0</v>
      </c>
      <c r="J11" s="16">
        <v>41300</v>
      </c>
      <c r="K11" s="17">
        <f t="shared" si="1"/>
        <v>3.897318399589319</v>
      </c>
      <c r="L11" s="16">
        <f>SUM(C11-D11-F11-H11-J11)</f>
        <v>0</v>
      </c>
      <c r="M11" s="22">
        <f t="shared" si="5"/>
        <v>0</v>
      </c>
    </row>
    <row r="12" spans="2:13" ht="12" customHeight="1">
      <c r="B12" s="77" t="s">
        <v>59</v>
      </c>
      <c r="C12" s="84">
        <v>269830</v>
      </c>
      <c r="D12" s="109">
        <v>7360</v>
      </c>
      <c r="E12" s="21">
        <f t="shared" si="3"/>
        <v>2.7276433309861763</v>
      </c>
      <c r="F12" s="109"/>
      <c r="G12" s="21">
        <f t="shared" si="4"/>
        <v>0</v>
      </c>
      <c r="H12" s="109">
        <v>500</v>
      </c>
      <c r="I12" s="55">
        <f t="shared" si="0"/>
        <v>0.1853018567246044</v>
      </c>
      <c r="J12" s="20">
        <v>16383</v>
      </c>
      <c r="K12" s="17">
        <f t="shared" si="1"/>
        <v>6.0716006374383875</v>
      </c>
      <c r="L12" s="16">
        <f>SUM(C12-D12-F12-H12-J12)</f>
        <v>245587</v>
      </c>
      <c r="M12" s="22">
        <f t="shared" si="5"/>
        <v>91.01545417485083</v>
      </c>
    </row>
    <row r="13" spans="2:13" ht="12" customHeight="1">
      <c r="B13" s="110" t="s">
        <v>54</v>
      </c>
      <c r="C13" s="84">
        <f>1023618+336302</f>
        <v>1359920</v>
      </c>
      <c r="D13" s="109">
        <v>3027347</v>
      </c>
      <c r="E13" s="87">
        <f t="shared" si="3"/>
        <v>222.61213894934997</v>
      </c>
      <c r="F13" s="109"/>
      <c r="G13" s="87">
        <f t="shared" si="4"/>
        <v>0</v>
      </c>
      <c r="H13" s="109"/>
      <c r="I13" s="55">
        <f t="shared" si="0"/>
        <v>0</v>
      </c>
      <c r="J13" s="88"/>
      <c r="K13" s="17">
        <f t="shared" si="1"/>
        <v>0</v>
      </c>
      <c r="L13" s="16">
        <f t="shared" si="2"/>
        <v>-1667427</v>
      </c>
      <c r="M13" s="89">
        <f t="shared" si="5"/>
        <v>-122.61213894934997</v>
      </c>
    </row>
    <row r="14" spans="2:13" ht="12" customHeight="1" thickBot="1">
      <c r="B14" s="110" t="s">
        <v>30</v>
      </c>
      <c r="C14" s="84">
        <v>207562</v>
      </c>
      <c r="D14" s="109">
        <v>66223</v>
      </c>
      <c r="E14" s="87">
        <f t="shared" si="3"/>
        <v>31.90516568543375</v>
      </c>
      <c r="F14" s="109"/>
      <c r="G14" s="87">
        <f t="shared" si="4"/>
        <v>0</v>
      </c>
      <c r="H14" s="109"/>
      <c r="I14" s="111">
        <f t="shared" si="0"/>
        <v>0</v>
      </c>
      <c r="J14" s="109">
        <v>18</v>
      </c>
      <c r="K14" s="94">
        <f t="shared" si="1"/>
        <v>0.00867210761121978</v>
      </c>
      <c r="L14" s="88">
        <f t="shared" si="2"/>
        <v>141321</v>
      </c>
      <c r="M14" s="89">
        <f t="shared" si="5"/>
        <v>68.08616220695502</v>
      </c>
    </row>
    <row r="15" spans="2:13" s="28" customFormat="1" ht="12" customHeight="1" thickBot="1">
      <c r="B15" s="25" t="s">
        <v>40</v>
      </c>
      <c r="C15" s="24">
        <f>SUM(C5:C14)</f>
        <v>4412188</v>
      </c>
      <c r="D15" s="24">
        <f>SUM(D5:D14)</f>
        <v>4119333</v>
      </c>
      <c r="E15" s="47">
        <f t="shared" si="3"/>
        <v>93.36259017068176</v>
      </c>
      <c r="F15" s="24">
        <f>SUM(F5:F14)</f>
        <v>10674</v>
      </c>
      <c r="G15" s="47">
        <f t="shared" si="4"/>
        <v>0.24192078850674542</v>
      </c>
      <c r="H15" s="24">
        <f>SUM(H5:H14)</f>
        <v>585</v>
      </c>
      <c r="I15" s="47">
        <f t="shared" si="0"/>
        <v>0.013258727869256706</v>
      </c>
      <c r="J15" s="24">
        <f>SUM(J5:J14)</f>
        <v>131802</v>
      </c>
      <c r="K15" s="26">
        <f t="shared" si="1"/>
        <v>2.9872253856816617</v>
      </c>
      <c r="L15" s="24">
        <f>SUM(L5:L14)</f>
        <v>149794</v>
      </c>
      <c r="M15" s="64">
        <f t="shared" si="5"/>
        <v>3.3950049272605787</v>
      </c>
    </row>
    <row r="16" spans="2:13" s="115" customFormat="1" ht="12" customHeight="1">
      <c r="B16" s="81" t="s">
        <v>14</v>
      </c>
      <c r="C16" s="19">
        <v>42408</v>
      </c>
      <c r="D16" s="82">
        <v>4457</v>
      </c>
      <c r="E16" s="21">
        <f aca="true" t="shared" si="6" ref="E16:E24">SUM(D16/C16)*100</f>
        <v>10.509809469911339</v>
      </c>
      <c r="F16" s="82"/>
      <c r="G16" s="112">
        <f aca="true" t="shared" si="7" ref="G16:G23">SUM(F16/C16)*100</f>
        <v>0</v>
      </c>
      <c r="H16" s="82"/>
      <c r="I16" s="113">
        <f t="shared" si="0"/>
        <v>0</v>
      </c>
      <c r="J16" s="80"/>
      <c r="K16" s="114">
        <f t="shared" si="1"/>
        <v>0</v>
      </c>
      <c r="L16" s="16">
        <f>SUM(C16-D16-F16-H16-J16)</f>
        <v>37951</v>
      </c>
      <c r="M16" s="22">
        <f aca="true" t="shared" si="8" ref="M16:M24">SUM(L16/C16)*100</f>
        <v>89.49019053008867</v>
      </c>
    </row>
    <row r="17" spans="2:13" s="115" customFormat="1" ht="12" customHeight="1">
      <c r="B17" s="81" t="s">
        <v>27</v>
      </c>
      <c r="C17" s="19">
        <v>63558</v>
      </c>
      <c r="D17" s="82">
        <v>23515</v>
      </c>
      <c r="E17" s="21">
        <f t="shared" si="6"/>
        <v>36.99770288555335</v>
      </c>
      <c r="F17" s="82">
        <v>2141</v>
      </c>
      <c r="G17" s="112">
        <f t="shared" si="7"/>
        <v>3.368576733062714</v>
      </c>
      <c r="H17" s="82">
        <v>31226</v>
      </c>
      <c r="I17" s="113">
        <f t="shared" si="0"/>
        <v>49.129928569180905</v>
      </c>
      <c r="J17" s="80"/>
      <c r="K17" s="114">
        <f t="shared" si="1"/>
        <v>0</v>
      </c>
      <c r="L17" s="16">
        <f>SUM(C17-D17-F17-H17-J17)</f>
        <v>6676</v>
      </c>
      <c r="M17" s="22">
        <f t="shared" si="8"/>
        <v>10.503791812203026</v>
      </c>
    </row>
    <row r="18" spans="2:13" s="115" customFormat="1" ht="12" customHeight="1">
      <c r="B18" s="81" t="s">
        <v>33</v>
      </c>
      <c r="C18" s="19">
        <v>53944</v>
      </c>
      <c r="D18" s="82">
        <v>9</v>
      </c>
      <c r="E18" s="21">
        <f t="shared" si="6"/>
        <v>0.016683968559988136</v>
      </c>
      <c r="F18" s="82">
        <v>451</v>
      </c>
      <c r="G18" s="112">
        <f t="shared" si="7"/>
        <v>0.8360522022838499</v>
      </c>
      <c r="H18" s="82">
        <v>47062</v>
      </c>
      <c r="I18" s="113">
        <f t="shared" si="0"/>
        <v>87.24232537446241</v>
      </c>
      <c r="J18" s="80"/>
      <c r="K18" s="114">
        <f t="shared" si="1"/>
        <v>0</v>
      </c>
      <c r="L18" s="16">
        <f>SUM(C18-D18-F18-H18-J18)</f>
        <v>6422</v>
      </c>
      <c r="M18" s="22">
        <f t="shared" si="8"/>
        <v>11.904938454693756</v>
      </c>
    </row>
    <row r="19" spans="2:13" s="115" customFormat="1" ht="12" customHeight="1">
      <c r="B19" s="81" t="s">
        <v>29</v>
      </c>
      <c r="C19" s="19">
        <v>17967</v>
      </c>
      <c r="D19" s="82">
        <v>1200</v>
      </c>
      <c r="E19" s="21">
        <f t="shared" si="6"/>
        <v>6.6789113374519955</v>
      </c>
      <c r="F19" s="82">
        <v>88</v>
      </c>
      <c r="G19" s="112">
        <f t="shared" si="7"/>
        <v>0.4897868314131464</v>
      </c>
      <c r="H19" s="82">
        <v>15769</v>
      </c>
      <c r="I19" s="113">
        <f t="shared" si="0"/>
        <v>87.7664607335671</v>
      </c>
      <c r="J19" s="80"/>
      <c r="K19" s="114">
        <f t="shared" si="1"/>
        <v>0</v>
      </c>
      <c r="L19" s="16">
        <f>SUM(C19-D19-F19-H19-J19)</f>
        <v>910</v>
      </c>
      <c r="M19" s="22">
        <f t="shared" si="8"/>
        <v>5.064841097567763</v>
      </c>
    </row>
    <row r="20" spans="2:13" s="115" customFormat="1" ht="12" customHeight="1" thickBot="1">
      <c r="B20" s="83" t="s">
        <v>28</v>
      </c>
      <c r="C20" s="84">
        <v>33442</v>
      </c>
      <c r="D20" s="86">
        <v>2461</v>
      </c>
      <c r="E20" s="87">
        <f t="shared" si="6"/>
        <v>7.359009628610728</v>
      </c>
      <c r="F20" s="86"/>
      <c r="G20" s="116">
        <f t="shared" si="7"/>
        <v>0</v>
      </c>
      <c r="H20" s="86">
        <v>21828</v>
      </c>
      <c r="I20" s="113">
        <f t="shared" si="0"/>
        <v>65.27121583637341</v>
      </c>
      <c r="J20" s="117"/>
      <c r="K20" s="114">
        <f t="shared" si="1"/>
        <v>0</v>
      </c>
      <c r="L20" s="16">
        <f>SUM(C20-D20-F20-H20-J20)</f>
        <v>9153</v>
      </c>
      <c r="M20" s="89">
        <f t="shared" si="8"/>
        <v>27.36977453501585</v>
      </c>
    </row>
    <row r="21" spans="2:13" s="28" customFormat="1" ht="12" customHeight="1" thickBot="1">
      <c r="B21" s="25" t="s">
        <v>39</v>
      </c>
      <c r="C21" s="24">
        <f>SUM(C16:C20)</f>
        <v>211319</v>
      </c>
      <c r="D21" s="24">
        <f aca="true" t="shared" si="9" ref="D21:L21">SUM(D16:D20)</f>
        <v>31642</v>
      </c>
      <c r="E21" s="26">
        <f t="shared" si="6"/>
        <v>14.973570762685798</v>
      </c>
      <c r="F21" s="24">
        <f t="shared" si="9"/>
        <v>2680</v>
      </c>
      <c r="G21" s="26">
        <f t="shared" si="7"/>
        <v>1.268224816509637</v>
      </c>
      <c r="H21" s="24">
        <f t="shared" si="9"/>
        <v>115885</v>
      </c>
      <c r="I21" s="47">
        <f aca="true" t="shared" si="10" ref="I21:I39">SUM(H21/C21)*100</f>
        <v>54.83889285866391</v>
      </c>
      <c r="J21" s="24">
        <f>SUM(J16:J20)</f>
        <v>0</v>
      </c>
      <c r="K21" s="26">
        <f aca="true" t="shared" si="11" ref="K21:K39">SUM(J21/C21)*100</f>
        <v>0</v>
      </c>
      <c r="L21" s="24">
        <f t="shared" si="9"/>
        <v>61112</v>
      </c>
      <c r="M21" s="31">
        <f t="shared" si="8"/>
        <v>28.91931156214065</v>
      </c>
    </row>
    <row r="22" spans="2:13" ht="12" customHeight="1">
      <c r="B22" s="118" t="s">
        <v>51</v>
      </c>
      <c r="C22" s="119">
        <v>501404</v>
      </c>
      <c r="D22" s="120">
        <v>92500</v>
      </c>
      <c r="E22" s="121">
        <f t="shared" si="6"/>
        <v>18.44819746152803</v>
      </c>
      <c r="F22" s="120">
        <f>55+178+179</f>
        <v>412</v>
      </c>
      <c r="G22" s="121">
        <f t="shared" si="7"/>
        <v>0.08216926869350863</v>
      </c>
      <c r="H22" s="120"/>
      <c r="I22" s="122">
        <f>SUM(H22/C22)*100</f>
        <v>0</v>
      </c>
      <c r="J22" s="120">
        <v>35014</v>
      </c>
      <c r="K22" s="121">
        <f>SUM(J22/C22)*100</f>
        <v>6.983191199112891</v>
      </c>
      <c r="L22" s="120">
        <f>SUM(C22-D22-F22-H22-J22)</f>
        <v>373478</v>
      </c>
      <c r="M22" s="123">
        <f t="shared" si="8"/>
        <v>74.48644207066557</v>
      </c>
    </row>
    <row r="23" spans="2:13" ht="12" customHeight="1" thickBot="1">
      <c r="B23" s="97" t="s">
        <v>52</v>
      </c>
      <c r="C23" s="98">
        <v>649222</v>
      </c>
      <c r="D23" s="100">
        <v>331715</v>
      </c>
      <c r="E23" s="101">
        <f t="shared" si="6"/>
        <v>51.09423278940024</v>
      </c>
      <c r="F23" s="100"/>
      <c r="G23" s="101">
        <f t="shared" si="7"/>
        <v>0</v>
      </c>
      <c r="H23" s="100"/>
      <c r="I23" s="124">
        <f>SUM(H23/C23)*100</f>
        <v>0</v>
      </c>
      <c r="J23" s="100"/>
      <c r="K23" s="101">
        <f>SUM(J23/C23)*100</f>
        <v>0</v>
      </c>
      <c r="L23" s="100">
        <f>SUM(C23-D23-F23-H23-J23)</f>
        <v>317507</v>
      </c>
      <c r="M23" s="102">
        <f t="shared" si="8"/>
        <v>48.90576721059976</v>
      </c>
    </row>
    <row r="24" spans="2:13" ht="12" customHeight="1" thickBot="1">
      <c r="B24" s="25" t="s">
        <v>53</v>
      </c>
      <c r="C24" s="24">
        <f>SUM(C22:C23)</f>
        <v>1150626</v>
      </c>
      <c r="D24" s="24">
        <f>SUM(D22:D23)</f>
        <v>424215</v>
      </c>
      <c r="E24" s="47">
        <f t="shared" si="6"/>
        <v>36.8681917495346</v>
      </c>
      <c r="F24" s="24">
        <f aca="true" t="shared" si="12" ref="F24:L24">SUM(F22:F23)</f>
        <v>412</v>
      </c>
      <c r="G24" s="47">
        <f t="shared" si="12"/>
        <v>0.08216926869350863</v>
      </c>
      <c r="H24" s="24">
        <f t="shared" si="12"/>
        <v>0</v>
      </c>
      <c r="I24" s="47">
        <f t="shared" si="12"/>
        <v>0</v>
      </c>
      <c r="J24" s="24">
        <f t="shared" si="12"/>
        <v>35014</v>
      </c>
      <c r="K24" s="26">
        <f t="shared" si="12"/>
        <v>6.983191199112891</v>
      </c>
      <c r="L24" s="24">
        <f t="shared" si="12"/>
        <v>690985</v>
      </c>
      <c r="M24" s="64">
        <f t="shared" si="8"/>
        <v>60.052962474340056</v>
      </c>
    </row>
    <row r="25" spans="2:13" ht="12" customHeight="1">
      <c r="B25" s="125" t="s">
        <v>3</v>
      </c>
      <c r="C25" s="92">
        <f>2283987-'önként2017.'!B29-C26</f>
        <v>2069783</v>
      </c>
      <c r="D25" s="88">
        <v>118326</v>
      </c>
      <c r="E25" s="94">
        <f aca="true" t="shared" si="13" ref="E25:E45">SUM(D25/C25)*100</f>
        <v>5.716831184718398</v>
      </c>
      <c r="F25" s="88">
        <f>318219+172+469+32</f>
        <v>318892</v>
      </c>
      <c r="G25" s="94">
        <f aca="true" t="shared" si="14" ref="G25:G45">SUM(F25/C25)*100</f>
        <v>15.40702576067153</v>
      </c>
      <c r="H25" s="88"/>
      <c r="I25" s="111">
        <f t="shared" si="10"/>
        <v>0</v>
      </c>
      <c r="J25" s="88"/>
      <c r="K25" s="94">
        <f t="shared" si="11"/>
        <v>0</v>
      </c>
      <c r="L25" s="88">
        <f>SUM(C25-D25-F25-H25-J25)</f>
        <v>1632565</v>
      </c>
      <c r="M25" s="95">
        <f aca="true" t="shared" si="15" ref="M25:M45">SUM(L25/C25)*100</f>
        <v>78.87614305461007</v>
      </c>
    </row>
    <row r="26" spans="2:13" ht="12" customHeight="1" thickBot="1">
      <c r="B26" s="77" t="s">
        <v>50</v>
      </c>
      <c r="C26" s="19">
        <v>1000</v>
      </c>
      <c r="D26" s="20"/>
      <c r="E26" s="21">
        <f t="shared" si="13"/>
        <v>0</v>
      </c>
      <c r="F26" s="20"/>
      <c r="G26" s="21">
        <f t="shared" si="14"/>
        <v>0</v>
      </c>
      <c r="H26" s="20"/>
      <c r="I26" s="126">
        <f t="shared" si="10"/>
        <v>0</v>
      </c>
      <c r="J26" s="20"/>
      <c r="K26" s="21">
        <f t="shared" si="11"/>
        <v>0</v>
      </c>
      <c r="L26" s="20">
        <f>SUM(C26-D26-F26-H26-J26)</f>
        <v>1000</v>
      </c>
      <c r="M26" s="22">
        <f t="shared" si="15"/>
        <v>100</v>
      </c>
    </row>
    <row r="27" spans="2:13" ht="12" customHeight="1" thickBot="1">
      <c r="B27" s="25" t="s">
        <v>41</v>
      </c>
      <c r="C27" s="24">
        <f>SUM(C25:C26)</f>
        <v>2070783</v>
      </c>
      <c r="D27" s="24">
        <f>SUM(D25:D26)</f>
        <v>118326</v>
      </c>
      <c r="E27" s="26">
        <f t="shared" si="13"/>
        <v>5.71407047479142</v>
      </c>
      <c r="F27" s="24">
        <f>SUM(F25:F26)</f>
        <v>318892</v>
      </c>
      <c r="G27" s="26">
        <f t="shared" si="14"/>
        <v>15.399585567391657</v>
      </c>
      <c r="H27" s="24">
        <f>SUM(H25:H26)</f>
        <v>0</v>
      </c>
      <c r="I27" s="47">
        <f t="shared" si="10"/>
        <v>0</v>
      </c>
      <c r="J27" s="24">
        <f>SUM(J25)</f>
        <v>0</v>
      </c>
      <c r="K27" s="26">
        <f t="shared" si="11"/>
        <v>0</v>
      </c>
      <c r="L27" s="24">
        <f>SUM(L25:L26)</f>
        <v>1633565</v>
      </c>
      <c r="M27" s="31">
        <f t="shared" si="15"/>
        <v>78.88634395781692</v>
      </c>
    </row>
    <row r="28" spans="2:13" ht="12" customHeight="1" thickBot="1">
      <c r="B28" s="125" t="s">
        <v>6</v>
      </c>
      <c r="C28" s="92">
        <v>215353</v>
      </c>
      <c r="D28" s="88">
        <v>6606</v>
      </c>
      <c r="E28" s="94">
        <f t="shared" si="13"/>
        <v>3.0675216969348</v>
      </c>
      <c r="F28" s="88">
        <f>46939+9053+291+867+2041+4845+817+876+4785+3157</f>
        <v>73671</v>
      </c>
      <c r="G28" s="94">
        <f t="shared" si="14"/>
        <v>34.20941431045772</v>
      </c>
      <c r="H28" s="88"/>
      <c r="I28" s="111">
        <f t="shared" si="10"/>
        <v>0</v>
      </c>
      <c r="J28" s="88">
        <v>11110</v>
      </c>
      <c r="K28" s="94">
        <f t="shared" si="11"/>
        <v>5.158971549038091</v>
      </c>
      <c r="L28" s="88">
        <f>SUM(C28-D28-F28-H28-J28)</f>
        <v>123966</v>
      </c>
      <c r="M28" s="95">
        <f t="shared" si="15"/>
        <v>57.56409244356939</v>
      </c>
    </row>
    <row r="29" spans="2:13" ht="12" customHeight="1" thickBot="1">
      <c r="B29" s="25" t="s">
        <v>42</v>
      </c>
      <c r="C29" s="24">
        <f>SUM(C28)</f>
        <v>215353</v>
      </c>
      <c r="D29" s="127">
        <f>SUM(D28)</f>
        <v>6606</v>
      </c>
      <c r="E29" s="27">
        <f t="shared" si="13"/>
        <v>3.0675216969348</v>
      </c>
      <c r="F29" s="127">
        <f>SUM(F28)</f>
        <v>73671</v>
      </c>
      <c r="G29" s="27">
        <f t="shared" si="14"/>
        <v>34.20941431045772</v>
      </c>
      <c r="H29" s="127">
        <f>SUM(H28)</f>
        <v>0</v>
      </c>
      <c r="I29" s="128">
        <f t="shared" si="10"/>
        <v>0</v>
      </c>
      <c r="J29" s="127">
        <f>SUM(J28)</f>
        <v>11110</v>
      </c>
      <c r="K29" s="27">
        <f t="shared" si="11"/>
        <v>5.158971549038091</v>
      </c>
      <c r="L29" s="127">
        <f>SUM(L28)</f>
        <v>123966</v>
      </c>
      <c r="M29" s="129">
        <f t="shared" si="15"/>
        <v>57.56409244356939</v>
      </c>
    </row>
    <row r="30" spans="2:13" ht="12" customHeight="1">
      <c r="B30" s="14" t="s">
        <v>7</v>
      </c>
      <c r="C30" s="15">
        <v>186459</v>
      </c>
      <c r="D30" s="16">
        <v>2182</v>
      </c>
      <c r="E30" s="17">
        <f t="shared" si="13"/>
        <v>1.1702304528073197</v>
      </c>
      <c r="F30" s="16">
        <v>43988</v>
      </c>
      <c r="G30" s="17">
        <f t="shared" si="14"/>
        <v>23.591245260352142</v>
      </c>
      <c r="H30" s="16"/>
      <c r="I30" s="55">
        <f t="shared" si="10"/>
        <v>0</v>
      </c>
      <c r="J30" s="16">
        <f>1978+2468</f>
        <v>4446</v>
      </c>
      <c r="K30" s="17">
        <f t="shared" si="11"/>
        <v>2.384438402007948</v>
      </c>
      <c r="L30" s="16">
        <f>SUM(C30-D30-F30-H30-J30)</f>
        <v>135843</v>
      </c>
      <c r="M30" s="18">
        <f t="shared" si="15"/>
        <v>72.85408588483259</v>
      </c>
    </row>
    <row r="31" spans="2:13" ht="12" customHeight="1">
      <c r="B31" s="77" t="s">
        <v>8</v>
      </c>
      <c r="C31" s="19">
        <v>111957</v>
      </c>
      <c r="D31" s="20">
        <v>13677</v>
      </c>
      <c r="E31" s="21">
        <f t="shared" si="13"/>
        <v>12.216297328438596</v>
      </c>
      <c r="F31" s="20">
        <v>23522</v>
      </c>
      <c r="G31" s="21">
        <f t="shared" si="14"/>
        <v>21.00985199674875</v>
      </c>
      <c r="H31" s="20"/>
      <c r="I31" s="55">
        <f t="shared" si="10"/>
        <v>0</v>
      </c>
      <c r="J31" s="16">
        <v>1543</v>
      </c>
      <c r="K31" s="17">
        <f t="shared" si="11"/>
        <v>1.3782077047437855</v>
      </c>
      <c r="L31" s="16">
        <f aca="true" t="shared" si="16" ref="L31:L39">SUM(C31-D31-F31-H31-J31)</f>
        <v>73215</v>
      </c>
      <c r="M31" s="22">
        <f t="shared" si="15"/>
        <v>65.39564297006886</v>
      </c>
    </row>
    <row r="32" spans="2:13" ht="12" customHeight="1">
      <c r="B32" s="77" t="s">
        <v>9</v>
      </c>
      <c r="C32" s="19">
        <v>47613</v>
      </c>
      <c r="D32" s="20">
        <v>12240</v>
      </c>
      <c r="E32" s="21">
        <f t="shared" si="13"/>
        <v>25.707264822632474</v>
      </c>
      <c r="F32" s="20">
        <f>20377+576</f>
        <v>20953</v>
      </c>
      <c r="G32" s="21">
        <f t="shared" si="14"/>
        <v>44.00688887488711</v>
      </c>
      <c r="H32" s="20"/>
      <c r="I32" s="55">
        <f t="shared" si="10"/>
        <v>0</v>
      </c>
      <c r="J32" s="16">
        <v>412</v>
      </c>
      <c r="K32" s="17">
        <f t="shared" si="11"/>
        <v>0.8653098943565832</v>
      </c>
      <c r="L32" s="16">
        <f t="shared" si="16"/>
        <v>14008</v>
      </c>
      <c r="M32" s="22">
        <f t="shared" si="15"/>
        <v>29.42053640812383</v>
      </c>
    </row>
    <row r="33" spans="2:13" ht="12" customHeight="1">
      <c r="B33" s="77" t="s">
        <v>10</v>
      </c>
      <c r="C33" s="19">
        <v>96575</v>
      </c>
      <c r="D33" s="20">
        <v>27387</v>
      </c>
      <c r="E33" s="21">
        <f t="shared" si="13"/>
        <v>28.358270774009835</v>
      </c>
      <c r="F33" s="20">
        <v>26309</v>
      </c>
      <c r="G33" s="21">
        <f t="shared" si="14"/>
        <v>27.242039865389593</v>
      </c>
      <c r="H33" s="20"/>
      <c r="I33" s="55">
        <f t="shared" si="10"/>
        <v>0</v>
      </c>
      <c r="J33" s="16">
        <v>83</v>
      </c>
      <c r="K33" s="17">
        <f t="shared" si="11"/>
        <v>0.08594356717577013</v>
      </c>
      <c r="L33" s="16">
        <f t="shared" si="16"/>
        <v>42796</v>
      </c>
      <c r="M33" s="22">
        <f t="shared" si="15"/>
        <v>44.3137457934248</v>
      </c>
    </row>
    <row r="34" spans="2:13" ht="12" customHeight="1">
      <c r="B34" s="77" t="s">
        <v>11</v>
      </c>
      <c r="C34" s="19">
        <v>14619</v>
      </c>
      <c r="D34" s="20"/>
      <c r="E34" s="21">
        <f t="shared" si="13"/>
        <v>0</v>
      </c>
      <c r="F34" s="20"/>
      <c r="G34" s="21">
        <f t="shared" si="14"/>
        <v>0</v>
      </c>
      <c r="H34" s="20">
        <v>9201</v>
      </c>
      <c r="I34" s="55">
        <f t="shared" si="10"/>
        <v>62.938641493946236</v>
      </c>
      <c r="J34" s="16"/>
      <c r="K34" s="17">
        <f t="shared" si="11"/>
        <v>0</v>
      </c>
      <c r="L34" s="16">
        <f t="shared" si="16"/>
        <v>5418</v>
      </c>
      <c r="M34" s="22">
        <f t="shared" si="15"/>
        <v>37.061358506053764</v>
      </c>
    </row>
    <row r="35" spans="2:13" ht="12" customHeight="1">
      <c r="B35" s="77" t="s">
        <v>101</v>
      </c>
      <c r="C35" s="19">
        <v>58924</v>
      </c>
      <c r="D35" s="20"/>
      <c r="E35" s="21">
        <f t="shared" si="13"/>
        <v>0</v>
      </c>
      <c r="F35" s="20">
        <f>6600+6807+1177</f>
        <v>14584</v>
      </c>
      <c r="G35" s="21">
        <f t="shared" si="14"/>
        <v>24.750526101418778</v>
      </c>
      <c r="H35" s="20"/>
      <c r="I35" s="55">
        <f t="shared" si="10"/>
        <v>0</v>
      </c>
      <c r="J35" s="16"/>
      <c r="K35" s="17">
        <f t="shared" si="11"/>
        <v>0</v>
      </c>
      <c r="L35" s="16">
        <f t="shared" si="16"/>
        <v>44340</v>
      </c>
      <c r="M35" s="22">
        <f t="shared" si="15"/>
        <v>75.24947389858121</v>
      </c>
    </row>
    <row r="36" spans="2:13" ht="12" customHeight="1">
      <c r="B36" s="77" t="s">
        <v>12</v>
      </c>
      <c r="C36" s="19">
        <v>72728</v>
      </c>
      <c r="D36" s="20">
        <v>16667</v>
      </c>
      <c r="E36" s="21">
        <f t="shared" si="13"/>
        <v>22.91689583104169</v>
      </c>
      <c r="F36" s="20">
        <f>76498-719</f>
        <v>75779</v>
      </c>
      <c r="G36" s="21">
        <f t="shared" si="14"/>
        <v>104.19508304916951</v>
      </c>
      <c r="H36" s="20"/>
      <c r="I36" s="55">
        <f t="shared" si="10"/>
        <v>0</v>
      </c>
      <c r="J36" s="16">
        <v>2056</v>
      </c>
      <c r="K36" s="17">
        <f t="shared" si="11"/>
        <v>2.8269717302826973</v>
      </c>
      <c r="L36" s="16">
        <f t="shared" si="16"/>
        <v>-21774</v>
      </c>
      <c r="M36" s="22">
        <f t="shared" si="15"/>
        <v>-29.938950610493897</v>
      </c>
    </row>
    <row r="37" spans="2:13" ht="12" customHeight="1">
      <c r="B37" s="110" t="s">
        <v>102</v>
      </c>
      <c r="C37" s="84">
        <v>54200</v>
      </c>
      <c r="D37" s="109"/>
      <c r="E37" s="21">
        <f t="shared" si="13"/>
        <v>0</v>
      </c>
      <c r="F37" s="109"/>
      <c r="G37" s="21">
        <f t="shared" si="14"/>
        <v>0</v>
      </c>
      <c r="H37" s="109"/>
      <c r="I37" s="111">
        <f t="shared" si="10"/>
        <v>0</v>
      </c>
      <c r="J37" s="88"/>
      <c r="K37" s="17">
        <f t="shared" si="11"/>
        <v>0</v>
      </c>
      <c r="L37" s="16">
        <f t="shared" si="16"/>
        <v>54200</v>
      </c>
      <c r="M37" s="22">
        <f t="shared" si="15"/>
        <v>100</v>
      </c>
    </row>
    <row r="38" spans="2:13" ht="12" customHeight="1">
      <c r="B38" s="110" t="s">
        <v>55</v>
      </c>
      <c r="C38" s="84">
        <v>10367</v>
      </c>
      <c r="D38" s="109"/>
      <c r="E38" s="87">
        <f t="shared" si="13"/>
        <v>0</v>
      </c>
      <c r="F38" s="109">
        <f>364+3+352+895</f>
        <v>1614</v>
      </c>
      <c r="G38" s="21">
        <f t="shared" si="14"/>
        <v>15.568631233722389</v>
      </c>
      <c r="H38" s="109">
        <v>1976</v>
      </c>
      <c r="I38" s="126">
        <f t="shared" si="10"/>
        <v>19.060480370406097</v>
      </c>
      <c r="J38" s="20">
        <v>74</v>
      </c>
      <c r="K38" s="21">
        <f t="shared" si="11"/>
        <v>0.7138034146812</v>
      </c>
      <c r="L38" s="16">
        <f t="shared" si="16"/>
        <v>6703</v>
      </c>
      <c r="M38" s="22">
        <f t="shared" si="15"/>
        <v>64.65708498119031</v>
      </c>
    </row>
    <row r="39" spans="2:13" ht="12" customHeight="1" thickBot="1">
      <c r="B39" s="97" t="s">
        <v>13</v>
      </c>
      <c r="C39" s="98">
        <v>19817</v>
      </c>
      <c r="D39" s="100"/>
      <c r="E39" s="101">
        <f t="shared" si="13"/>
        <v>0</v>
      </c>
      <c r="F39" s="100">
        <v>11925</v>
      </c>
      <c r="G39" s="101">
        <f t="shared" si="14"/>
        <v>60.1756068022405</v>
      </c>
      <c r="H39" s="100"/>
      <c r="I39" s="124">
        <f t="shared" si="10"/>
        <v>0</v>
      </c>
      <c r="J39" s="100">
        <v>285</v>
      </c>
      <c r="K39" s="101">
        <f t="shared" si="11"/>
        <v>1.4381591562799616</v>
      </c>
      <c r="L39" s="100">
        <f t="shared" si="16"/>
        <v>7607</v>
      </c>
      <c r="M39" s="102">
        <f t="shared" si="15"/>
        <v>38.38623404147954</v>
      </c>
    </row>
    <row r="40" spans="2:13" s="28" customFormat="1" ht="12" customHeight="1" thickBot="1">
      <c r="B40" s="130" t="s">
        <v>43</v>
      </c>
      <c r="C40" s="24">
        <f>SUM(C30:C39)</f>
        <v>673259</v>
      </c>
      <c r="D40" s="127">
        <f>SUM(D30:D39)</f>
        <v>72153</v>
      </c>
      <c r="E40" s="27">
        <f t="shared" si="13"/>
        <v>10.716975190825522</v>
      </c>
      <c r="F40" s="127">
        <f>SUM(F30:F39)</f>
        <v>218674</v>
      </c>
      <c r="G40" s="27">
        <f t="shared" si="14"/>
        <v>32.47992228845066</v>
      </c>
      <c r="H40" s="127">
        <f>SUM(H30:H39)</f>
        <v>11177</v>
      </c>
      <c r="I40" s="128">
        <f aca="true" t="shared" si="17" ref="I40:I45">SUM(H40/C40)*100</f>
        <v>1.6601337672426213</v>
      </c>
      <c r="J40" s="127">
        <f>SUM(J30:J39)</f>
        <v>8899</v>
      </c>
      <c r="K40" s="27">
        <f aca="true" t="shared" si="18" ref="K40:K45">SUM(J40/C40)*100</f>
        <v>1.3217795825974847</v>
      </c>
      <c r="L40" s="127">
        <f>SUM(L30:L39)</f>
        <v>362356</v>
      </c>
      <c r="M40" s="129">
        <f t="shared" si="15"/>
        <v>53.82118917088372</v>
      </c>
    </row>
    <row r="41" spans="2:13" s="28" customFormat="1" ht="12" customHeight="1" thickBot="1">
      <c r="B41" s="131" t="s">
        <v>45</v>
      </c>
      <c r="C41" s="132">
        <v>173424</v>
      </c>
      <c r="D41" s="133">
        <v>5653</v>
      </c>
      <c r="E41" s="134">
        <f t="shared" si="13"/>
        <v>3.2596411108035794</v>
      </c>
      <c r="F41" s="133">
        <f>85413+22+7874+839</f>
        <v>94148</v>
      </c>
      <c r="G41" s="134">
        <f t="shared" si="14"/>
        <v>54.28775717317096</v>
      </c>
      <c r="H41" s="133"/>
      <c r="I41" s="135">
        <f t="shared" si="17"/>
        <v>0</v>
      </c>
      <c r="J41" s="133">
        <v>5354</v>
      </c>
      <c r="K41" s="27">
        <f t="shared" si="18"/>
        <v>3.0872312943998526</v>
      </c>
      <c r="L41" s="133">
        <f>SUM(C41-D41-F41-H41-J41)</f>
        <v>68269</v>
      </c>
      <c r="M41" s="136">
        <f t="shared" si="15"/>
        <v>39.36537042162561</v>
      </c>
    </row>
    <row r="42" spans="2:13" s="28" customFormat="1" ht="12" customHeight="1" thickBot="1">
      <c r="B42" s="25" t="s">
        <v>46</v>
      </c>
      <c r="C42" s="24">
        <v>100014</v>
      </c>
      <c r="D42" s="127">
        <v>3876</v>
      </c>
      <c r="E42" s="27">
        <f t="shared" si="13"/>
        <v>3.8754574359589657</v>
      </c>
      <c r="F42" s="127">
        <f>51030+81+232+228+4533+111+533</f>
        <v>56748</v>
      </c>
      <c r="G42" s="27">
        <f t="shared" si="14"/>
        <v>56.74005639210511</v>
      </c>
      <c r="H42" s="127"/>
      <c r="I42" s="128">
        <f t="shared" si="17"/>
        <v>0</v>
      </c>
      <c r="J42" s="127">
        <v>9323</v>
      </c>
      <c r="K42" s="137">
        <f t="shared" si="18"/>
        <v>9.321694962705221</v>
      </c>
      <c r="L42" s="127">
        <f>SUM(C42-D42-F42-H42-J42)</f>
        <v>30067</v>
      </c>
      <c r="M42" s="138">
        <f t="shared" si="15"/>
        <v>30.06279120923071</v>
      </c>
    </row>
    <row r="43" spans="2:13" s="28" customFormat="1" ht="12" customHeight="1" thickBot="1">
      <c r="B43" s="25" t="s">
        <v>47</v>
      </c>
      <c r="C43" s="24">
        <v>159038</v>
      </c>
      <c r="D43" s="127">
        <v>10954</v>
      </c>
      <c r="E43" s="27">
        <f t="shared" si="13"/>
        <v>6.887662068184961</v>
      </c>
      <c r="F43" s="127">
        <f>86126+97+92+67+33+845</f>
        <v>87260</v>
      </c>
      <c r="G43" s="27">
        <f t="shared" si="14"/>
        <v>54.86739018347816</v>
      </c>
      <c r="H43" s="127"/>
      <c r="I43" s="128">
        <f t="shared" si="17"/>
        <v>0</v>
      </c>
      <c r="J43" s="127">
        <v>5056</v>
      </c>
      <c r="K43" s="137">
        <f t="shared" si="18"/>
        <v>3.1791144254832178</v>
      </c>
      <c r="L43" s="127">
        <f>SUM(C43-D43-F43-H43-J43)</f>
        <v>55768</v>
      </c>
      <c r="M43" s="138">
        <f t="shared" si="15"/>
        <v>35.065833322853656</v>
      </c>
    </row>
    <row r="44" spans="2:13" s="28" customFormat="1" ht="12" customHeight="1" thickBot="1">
      <c r="B44" s="131" t="s">
        <v>48</v>
      </c>
      <c r="C44" s="132">
        <v>145564</v>
      </c>
      <c r="D44" s="133">
        <v>3168</v>
      </c>
      <c r="E44" s="134">
        <f t="shared" si="13"/>
        <v>2.1763622873787476</v>
      </c>
      <c r="F44" s="133">
        <f>64411+13+31+30+16+735</f>
        <v>65236</v>
      </c>
      <c r="G44" s="134">
        <f t="shared" si="14"/>
        <v>44.81602594047979</v>
      </c>
      <c r="H44" s="133"/>
      <c r="I44" s="135">
        <f t="shared" si="17"/>
        <v>0</v>
      </c>
      <c r="J44" s="133">
        <v>25588</v>
      </c>
      <c r="K44" s="27">
        <f t="shared" si="18"/>
        <v>17.57852216207304</v>
      </c>
      <c r="L44" s="133">
        <f>SUM(C44-D44-F44-H44-J44)</f>
        <v>51572</v>
      </c>
      <c r="M44" s="136">
        <f t="shared" si="15"/>
        <v>35.429089610068424</v>
      </c>
    </row>
    <row r="45" spans="2:13" s="4" customFormat="1" ht="12" customHeight="1" thickBot="1">
      <c r="B45" s="23" t="s">
        <v>19</v>
      </c>
      <c r="C45" s="24">
        <f>SUM(C40,C29,C27,C21,C15,C41,C42,C43,C44,C24)</f>
        <v>9311568</v>
      </c>
      <c r="D45" s="24">
        <f>SUM(D40,D29,D27,D21,D15,D41,D42,D43,D44,D24)</f>
        <v>4795926</v>
      </c>
      <c r="E45" s="26">
        <f t="shared" si="13"/>
        <v>51.50503116123944</v>
      </c>
      <c r="F45" s="24">
        <f>SUM(F40,F29,F27,F21,F15,F41,F42,F43,F44,F24)</f>
        <v>928395</v>
      </c>
      <c r="G45" s="26">
        <f t="shared" si="14"/>
        <v>9.970340118871494</v>
      </c>
      <c r="H45" s="24">
        <f>SUM(H40,H29,H27,H21,H15,H41,H42,H43,H44)</f>
        <v>127647</v>
      </c>
      <c r="I45" s="47">
        <f t="shared" si="17"/>
        <v>1.370843234995438</v>
      </c>
      <c r="J45" s="24">
        <f>SUM(J40,J29,J27,J21,J15,J41,J42,J43,J44,J24)</f>
        <v>232146</v>
      </c>
      <c r="K45" s="27">
        <f t="shared" si="18"/>
        <v>2.4930924630524096</v>
      </c>
      <c r="L45" s="24">
        <f>SUM(L40,L29,L27,L21,L15,L41,L42,L43,L44,L24)</f>
        <v>3227454</v>
      </c>
      <c r="M45" s="31">
        <f t="shared" si="15"/>
        <v>34.66069302184122</v>
      </c>
    </row>
  </sheetData>
  <sheetProtection/>
  <mergeCells count="2">
    <mergeCell ref="B2:M2"/>
    <mergeCell ref="L1:M1"/>
  </mergeCells>
  <printOptions/>
  <pageMargins left="0.7480314960629921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A2" sqref="A2:L3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63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6384" width="9.125" style="1" customWidth="1"/>
  </cols>
  <sheetData>
    <row r="1" spans="1:12" ht="12.75">
      <c r="A1" s="29"/>
      <c r="B1" s="29"/>
      <c r="C1" s="29"/>
      <c r="D1" s="60"/>
      <c r="E1" s="29"/>
      <c r="F1" s="29"/>
      <c r="G1" s="29"/>
      <c r="H1" s="29"/>
      <c r="I1" s="29"/>
      <c r="J1" s="29"/>
      <c r="K1" s="191" t="s">
        <v>32</v>
      </c>
      <c r="L1" s="191"/>
    </row>
    <row r="2" spans="1:12" ht="12.75">
      <c r="A2" s="192" t="s">
        <v>110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3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ht="13.5" thickBot="1">
      <c r="A4" s="48"/>
      <c r="B4" s="48"/>
      <c r="C4" s="48"/>
      <c r="D4" s="61"/>
      <c r="E4" s="32"/>
      <c r="F4" s="33"/>
      <c r="G4" s="32"/>
      <c r="H4" s="33"/>
      <c r="I4" s="33"/>
      <c r="J4" s="33"/>
      <c r="K4" s="34"/>
      <c r="L4" s="43" t="s">
        <v>0</v>
      </c>
    </row>
    <row r="5" spans="1:12" ht="92.25" customHeight="1" thickBot="1">
      <c r="A5" s="30" t="s">
        <v>2</v>
      </c>
      <c r="B5" s="35" t="s">
        <v>73</v>
      </c>
      <c r="C5" s="35" t="s">
        <v>82</v>
      </c>
      <c r="D5" s="36" t="s">
        <v>74</v>
      </c>
      <c r="E5" s="35" t="s">
        <v>63</v>
      </c>
      <c r="F5" s="36" t="s">
        <v>75</v>
      </c>
      <c r="G5" s="35" t="s">
        <v>83</v>
      </c>
      <c r="H5" s="36" t="s">
        <v>77</v>
      </c>
      <c r="I5" s="36" t="s">
        <v>80</v>
      </c>
      <c r="J5" s="36" t="s">
        <v>49</v>
      </c>
      <c r="K5" s="37" t="s">
        <v>78</v>
      </c>
      <c r="L5" s="45" t="s">
        <v>79</v>
      </c>
    </row>
    <row r="6" spans="1:12" ht="12.75">
      <c r="A6" s="66" t="s">
        <v>81</v>
      </c>
      <c r="B6" s="15"/>
      <c r="C6" s="15"/>
      <c r="D6" s="68"/>
      <c r="E6" s="16"/>
      <c r="F6" s="17"/>
      <c r="G6" s="16"/>
      <c r="H6" s="17"/>
      <c r="I6" s="16"/>
      <c r="J6" s="17"/>
      <c r="K6" s="20"/>
      <c r="L6" s="18"/>
    </row>
    <row r="7" spans="1:12" ht="12.75">
      <c r="A7" s="14" t="s">
        <v>107</v>
      </c>
      <c r="B7" s="19">
        <f>193351-31750</f>
        <v>161601</v>
      </c>
      <c r="C7" s="19">
        <v>161601</v>
      </c>
      <c r="D7" s="69">
        <f>SUM(C7/B7)*100</f>
        <v>100</v>
      </c>
      <c r="E7" s="20"/>
      <c r="F7" s="21">
        <f>SUM(E7/B7)*100</f>
        <v>0</v>
      </c>
      <c r="G7" s="20"/>
      <c r="H7" s="21">
        <f>SUM(G7/B7*100)</f>
        <v>0</v>
      </c>
      <c r="I7" s="20">
        <v>0</v>
      </c>
      <c r="J7" s="17">
        <f>SUM(I7/B7*100)</f>
        <v>0</v>
      </c>
      <c r="K7" s="20">
        <f>SUM(B7-C7-E7-G7-I7)</f>
        <v>0</v>
      </c>
      <c r="L7" s="22">
        <f>SUM(K7/B7)*100</f>
        <v>0</v>
      </c>
    </row>
    <row r="8" spans="1:12" ht="12.75">
      <c r="A8" s="67" t="s">
        <v>84</v>
      </c>
      <c r="B8" s="19"/>
      <c r="C8" s="19"/>
      <c r="D8" s="69"/>
      <c r="E8" s="20"/>
      <c r="F8" s="21"/>
      <c r="G8" s="20"/>
      <c r="H8" s="21"/>
      <c r="I8" s="20"/>
      <c r="J8" s="17"/>
      <c r="K8" s="20"/>
      <c r="L8" s="22"/>
    </row>
    <row r="9" spans="1:12" ht="12.75">
      <c r="A9" s="14" t="s">
        <v>104</v>
      </c>
      <c r="B9" s="19">
        <f>1334886-11959-59916</f>
        <v>1263011</v>
      </c>
      <c r="C9" s="19">
        <v>703621</v>
      </c>
      <c r="D9" s="69">
        <f>SUM(C9/B9)*100</f>
        <v>55.70980775305995</v>
      </c>
      <c r="E9" s="20"/>
      <c r="F9" s="21">
        <f>SUM(E9/B9)*100</f>
        <v>0</v>
      </c>
      <c r="G9" s="20">
        <f>39155</f>
        <v>39155</v>
      </c>
      <c r="H9" s="21">
        <f>SUM(G9/B9*100)</f>
        <v>3.100131352775233</v>
      </c>
      <c r="I9" s="20">
        <v>520235</v>
      </c>
      <c r="J9" s="17">
        <f>SUM(I9/B9*100)</f>
        <v>41.190060894164816</v>
      </c>
      <c r="K9" s="20">
        <f>SUM(B9-C9-E9-G9-I9)</f>
        <v>0</v>
      </c>
      <c r="L9" s="22">
        <f>SUM(K9/B9)*100</f>
        <v>0</v>
      </c>
    </row>
    <row r="10" spans="1:12" ht="12.75">
      <c r="A10" s="67" t="s">
        <v>85</v>
      </c>
      <c r="B10" s="19"/>
      <c r="C10" s="19"/>
      <c r="D10" s="69"/>
      <c r="E10" s="20"/>
      <c r="F10" s="21"/>
      <c r="G10" s="20"/>
      <c r="H10" s="21"/>
      <c r="I10" s="20"/>
      <c r="J10" s="17"/>
      <c r="K10" s="20"/>
      <c r="L10" s="22"/>
    </row>
    <row r="11" spans="1:12" ht="12.75">
      <c r="A11" s="14" t="s">
        <v>105</v>
      </c>
      <c r="B11" s="19">
        <v>413157</v>
      </c>
      <c r="C11" s="19">
        <v>22850</v>
      </c>
      <c r="D11" s="69">
        <f>SUM(C11/B11)*100</f>
        <v>5.530585225471189</v>
      </c>
      <c r="E11" s="20"/>
      <c r="F11" s="21">
        <f>SUM(E11/B11)*100</f>
        <v>0</v>
      </c>
      <c r="G11" s="20">
        <v>755</v>
      </c>
      <c r="H11" s="21">
        <f>SUM(G11/B11*100)</f>
        <v>0.18273924924423404</v>
      </c>
      <c r="I11" s="20">
        <v>389552</v>
      </c>
      <c r="J11" s="17">
        <f>SUM(I11/B11*100)</f>
        <v>94.28667552528458</v>
      </c>
      <c r="K11" s="20">
        <f>SUM(B11-C11-E11-G11-I11)</f>
        <v>0</v>
      </c>
      <c r="L11" s="22">
        <f>SUM(K11/B11)*100</f>
        <v>0</v>
      </c>
    </row>
    <row r="12" spans="1:12" ht="12.75">
      <c r="A12" s="67" t="s">
        <v>86</v>
      </c>
      <c r="B12" s="19"/>
      <c r="C12" s="19"/>
      <c r="D12" s="69"/>
      <c r="E12" s="20"/>
      <c r="F12" s="21"/>
      <c r="G12" s="20"/>
      <c r="H12" s="21"/>
      <c r="I12" s="20"/>
      <c r="J12" s="17"/>
      <c r="K12" s="20"/>
      <c r="L12" s="22"/>
    </row>
    <row r="13" spans="1:12" ht="13.5" thickBot="1">
      <c r="A13" s="14" t="s">
        <v>106</v>
      </c>
      <c r="B13" s="19">
        <v>12200</v>
      </c>
      <c r="C13" s="19">
        <v>12200</v>
      </c>
      <c r="D13" s="69">
        <f aca="true" t="shared" si="0" ref="D13:D38">SUM(C13/B13)*100</f>
        <v>100</v>
      </c>
      <c r="E13" s="20"/>
      <c r="F13" s="21">
        <f>SUM(E13/B13)*100</f>
        <v>0</v>
      </c>
      <c r="G13" s="20"/>
      <c r="H13" s="21">
        <f>SUM(G13/B13*100)</f>
        <v>0</v>
      </c>
      <c r="I13" s="20"/>
      <c r="J13" s="17">
        <f>SUM(I13/B13*100)</f>
        <v>0</v>
      </c>
      <c r="K13" s="20">
        <f>SUM(B13-C13-E13-G13-I13)</f>
        <v>0</v>
      </c>
      <c r="L13" s="22">
        <f>SUM(K13/B13)*100</f>
        <v>0</v>
      </c>
    </row>
    <row r="14" spans="1:12" s="28" customFormat="1" ht="13.5" thickBot="1">
      <c r="A14" s="25" t="s">
        <v>40</v>
      </c>
      <c r="B14" s="24">
        <f>SUM(B6:B13)</f>
        <v>1849969</v>
      </c>
      <c r="C14" s="24">
        <f>SUM(C6:C13)</f>
        <v>900272</v>
      </c>
      <c r="D14" s="70">
        <f t="shared" si="0"/>
        <v>48.66416680495727</v>
      </c>
      <c r="E14" s="24">
        <f>SUM(E6:E13)</f>
        <v>0</v>
      </c>
      <c r="F14" s="47">
        <f>SUM(E14/B14*100)</f>
        <v>0</v>
      </c>
      <c r="G14" s="24">
        <f>SUM(G6:G13)</f>
        <v>39910</v>
      </c>
      <c r="H14" s="26">
        <f>SUM(G14/B14*100)</f>
        <v>2.1573334472091155</v>
      </c>
      <c r="I14" s="24">
        <f>SUM(I6:I13)</f>
        <v>909787</v>
      </c>
      <c r="J14" s="26">
        <f>SUM(I14/B14*100)</f>
        <v>49.17849974783361</v>
      </c>
      <c r="K14" s="24">
        <f>SUM(K6:K13)</f>
        <v>0</v>
      </c>
      <c r="L14" s="31">
        <f>SUM(K14/B14)*100</f>
        <v>0</v>
      </c>
    </row>
    <row r="15" spans="1:12" s="28" customFormat="1" ht="12.75">
      <c r="A15" s="66" t="s">
        <v>81</v>
      </c>
      <c r="B15" s="132"/>
      <c r="C15" s="132"/>
      <c r="D15" s="139"/>
      <c r="E15" s="132"/>
      <c r="F15" s="140"/>
      <c r="G15" s="132"/>
      <c r="H15" s="141"/>
      <c r="I15" s="132"/>
      <c r="J15" s="141"/>
      <c r="K15" s="132"/>
      <c r="L15" s="142"/>
    </row>
    <row r="16" spans="1:12" s="28" customFormat="1" ht="12.75">
      <c r="A16" s="14" t="s">
        <v>103</v>
      </c>
      <c r="B16" s="143">
        <v>31750</v>
      </c>
      <c r="C16" s="144"/>
      <c r="D16" s="145">
        <f>SUM(C16/B16)*100</f>
        <v>0</v>
      </c>
      <c r="E16" s="143"/>
      <c r="F16" s="146">
        <f>SUM(E16/B16)*100</f>
        <v>0</v>
      </c>
      <c r="G16" s="143"/>
      <c r="H16" s="147">
        <f>SUM(G16/B16*100)</f>
        <v>0</v>
      </c>
      <c r="I16" s="143"/>
      <c r="J16" s="147">
        <f>SUM(I16/B16*100)</f>
        <v>0</v>
      </c>
      <c r="K16" s="143">
        <f>SUM(B16-C16-E16-G16-I16)</f>
        <v>31750</v>
      </c>
      <c r="L16" s="148">
        <f>SUM(K16/B16)*100</f>
        <v>100</v>
      </c>
    </row>
    <row r="17" spans="1:12" s="96" customFormat="1" ht="12.75">
      <c r="A17" s="67" t="s">
        <v>84</v>
      </c>
      <c r="B17" s="92"/>
      <c r="C17" s="92"/>
      <c r="D17" s="149"/>
      <c r="E17" s="92"/>
      <c r="F17" s="94"/>
      <c r="G17" s="92"/>
      <c r="H17" s="94"/>
      <c r="I17" s="92"/>
      <c r="J17" s="94"/>
      <c r="K17" s="88"/>
      <c r="L17" s="95"/>
    </row>
    <row r="18" spans="1:12" s="96" customFormat="1" ht="13.5" thickBot="1">
      <c r="A18" s="125" t="s">
        <v>104</v>
      </c>
      <c r="B18" s="84">
        <v>78988</v>
      </c>
      <c r="C18" s="84">
        <v>736</v>
      </c>
      <c r="D18" s="150">
        <f>SUM(C18/B18)*100</f>
        <v>0.9317871069023144</v>
      </c>
      <c r="E18" s="84"/>
      <c r="F18" s="87">
        <f>SUM(E18/B18)*100</f>
        <v>0</v>
      </c>
      <c r="G18" s="84"/>
      <c r="H18" s="87">
        <f>SUM(G18/B18*100)</f>
        <v>0</v>
      </c>
      <c r="I18" s="84"/>
      <c r="J18" s="87">
        <f>SUM(I18/B18*100)</f>
        <v>0</v>
      </c>
      <c r="K18" s="109">
        <f>SUM(B18-C18-E18-G18-I18)</f>
        <v>78252</v>
      </c>
      <c r="L18" s="89">
        <f>SUM(K18/B18)*100</f>
        <v>99.06821289309768</v>
      </c>
    </row>
    <row r="19" spans="1:12" s="96" customFormat="1" ht="13.5" thickBot="1">
      <c r="A19" s="151" t="s">
        <v>39</v>
      </c>
      <c r="B19" s="152">
        <f>SUM(B16:B18)</f>
        <v>110738</v>
      </c>
      <c r="C19" s="153">
        <f aca="true" t="shared" si="1" ref="C19:K19">SUM(C16:C18)</f>
        <v>736</v>
      </c>
      <c r="D19" s="154">
        <f t="shared" si="1"/>
        <v>0.9317871069023144</v>
      </c>
      <c r="E19" s="153">
        <f t="shared" si="1"/>
        <v>0</v>
      </c>
      <c r="F19" s="153">
        <f t="shared" si="1"/>
        <v>0</v>
      </c>
      <c r="G19" s="153">
        <f t="shared" si="1"/>
        <v>0</v>
      </c>
      <c r="H19" s="153">
        <f t="shared" si="1"/>
        <v>0</v>
      </c>
      <c r="I19" s="153">
        <f t="shared" si="1"/>
        <v>0</v>
      </c>
      <c r="J19" s="153">
        <f t="shared" si="1"/>
        <v>0</v>
      </c>
      <c r="K19" s="153">
        <f t="shared" si="1"/>
        <v>110002</v>
      </c>
      <c r="L19" s="189">
        <f>SUM(K19/B19)*100</f>
        <v>99.33536816630244</v>
      </c>
    </row>
    <row r="20" spans="1:13" s="28" customFormat="1" ht="12.75">
      <c r="A20" s="67" t="s">
        <v>84</v>
      </c>
      <c r="B20" s="155"/>
      <c r="C20" s="155"/>
      <c r="D20" s="156"/>
      <c r="E20" s="155"/>
      <c r="F20" s="157"/>
      <c r="G20" s="155"/>
      <c r="H20" s="157"/>
      <c r="I20" s="155"/>
      <c r="J20" s="157"/>
      <c r="K20" s="155"/>
      <c r="L20" s="158"/>
      <c r="M20" s="103"/>
    </row>
    <row r="21" spans="1:13" s="28" customFormat="1" ht="13.5" thickBot="1">
      <c r="A21" s="14" t="s">
        <v>104</v>
      </c>
      <c r="B21" s="159">
        <v>4127</v>
      </c>
      <c r="C21" s="159">
        <v>2</v>
      </c>
      <c r="D21" s="160">
        <f t="shared" si="0"/>
        <v>0.0484613520717228</v>
      </c>
      <c r="E21" s="159"/>
      <c r="F21" s="161">
        <f>SUM(E21/B21)*100</f>
        <v>0</v>
      </c>
      <c r="G21" s="159"/>
      <c r="H21" s="161">
        <v>0</v>
      </c>
      <c r="I21" s="159"/>
      <c r="J21" s="161">
        <f>SUM(I21/B21*100)</f>
        <v>0</v>
      </c>
      <c r="K21" s="159">
        <f>SUM(B21-C21-E21-G21-I21)</f>
        <v>4125</v>
      </c>
      <c r="L21" s="162">
        <f>SUM(K21/B21)*100</f>
        <v>99.95153864792827</v>
      </c>
      <c r="M21" s="103"/>
    </row>
    <row r="22" spans="1:13" s="28" customFormat="1" ht="13.5" thickBot="1">
      <c r="A22" s="25" t="s">
        <v>41</v>
      </c>
      <c r="B22" s="24">
        <f>SUM(B21)</f>
        <v>4127</v>
      </c>
      <c r="C22" s="24">
        <f>SUM(C21)</f>
        <v>2</v>
      </c>
      <c r="D22" s="71">
        <f>SUM(D21)</f>
        <v>0.0484613520717228</v>
      </c>
      <c r="E22" s="71">
        <f aca="true" t="shared" si="2" ref="E22:L22">SUM(E21)</f>
        <v>0</v>
      </c>
      <c r="F22" s="71">
        <f t="shared" si="2"/>
        <v>0</v>
      </c>
      <c r="G22" s="71">
        <f t="shared" si="2"/>
        <v>0</v>
      </c>
      <c r="H22" s="71">
        <f t="shared" si="2"/>
        <v>0</v>
      </c>
      <c r="I22" s="71">
        <f t="shared" si="2"/>
        <v>0</v>
      </c>
      <c r="J22" s="71">
        <f t="shared" si="2"/>
        <v>0</v>
      </c>
      <c r="K22" s="163">
        <f t="shared" si="2"/>
        <v>4125</v>
      </c>
      <c r="L22" s="190">
        <f t="shared" si="2"/>
        <v>99.95153864792827</v>
      </c>
      <c r="M22" s="103"/>
    </row>
    <row r="23" spans="1:13" s="28" customFormat="1" ht="12.75">
      <c r="A23" s="66" t="s">
        <v>84</v>
      </c>
      <c r="B23" s="132"/>
      <c r="C23" s="132"/>
      <c r="D23" s="164"/>
      <c r="E23" s="132"/>
      <c r="F23" s="141"/>
      <c r="G23" s="132"/>
      <c r="H23" s="141"/>
      <c r="I23" s="132"/>
      <c r="J23" s="165"/>
      <c r="K23" s="132"/>
      <c r="L23" s="142"/>
      <c r="M23" s="103"/>
    </row>
    <row r="24" spans="1:13" s="28" customFormat="1" ht="13.5" thickBot="1">
      <c r="A24" s="14" t="s">
        <v>104</v>
      </c>
      <c r="B24" s="159">
        <v>507</v>
      </c>
      <c r="C24" s="159"/>
      <c r="D24" s="160">
        <f t="shared" si="0"/>
        <v>0</v>
      </c>
      <c r="E24" s="159"/>
      <c r="F24" s="161">
        <f>SUM(E24/B24)*100</f>
        <v>0</v>
      </c>
      <c r="G24" s="159"/>
      <c r="H24" s="161">
        <v>0</v>
      </c>
      <c r="I24" s="159"/>
      <c r="J24" s="161">
        <f aca="true" t="shared" si="3" ref="J24:J37">SUM(I24/B24*100)</f>
        <v>0</v>
      </c>
      <c r="K24" s="159">
        <f>SUM(B24-C24-E24-G24-I24)</f>
        <v>507</v>
      </c>
      <c r="L24" s="162">
        <f>SUM(K24/B24)*100</f>
        <v>100</v>
      </c>
      <c r="M24" s="103"/>
    </row>
    <row r="25" spans="1:13" s="28" customFormat="1" ht="13.5" thickBot="1">
      <c r="A25" s="166" t="s">
        <v>90</v>
      </c>
      <c r="B25" s="24">
        <f>SUM(B24)</f>
        <v>507</v>
      </c>
      <c r="C25" s="24"/>
      <c r="D25" s="71">
        <f t="shared" si="0"/>
        <v>0</v>
      </c>
      <c r="E25" s="24"/>
      <c r="F25" s="26">
        <f>SUM(F24)</f>
        <v>0</v>
      </c>
      <c r="G25" s="26">
        <f aca="true" t="shared" si="4" ref="G25:L25">SUM(G24)</f>
        <v>0</v>
      </c>
      <c r="H25" s="26">
        <f t="shared" si="4"/>
        <v>0</v>
      </c>
      <c r="I25" s="26">
        <f t="shared" si="4"/>
        <v>0</v>
      </c>
      <c r="J25" s="26">
        <f t="shared" si="4"/>
        <v>0</v>
      </c>
      <c r="K25" s="167">
        <f t="shared" si="4"/>
        <v>507</v>
      </c>
      <c r="L25" s="31">
        <f t="shared" si="4"/>
        <v>100</v>
      </c>
      <c r="M25" s="103"/>
    </row>
    <row r="26" spans="1:13" s="28" customFormat="1" ht="12.75">
      <c r="A26" s="66" t="s">
        <v>84</v>
      </c>
      <c r="B26" s="155"/>
      <c r="C26" s="155"/>
      <c r="D26" s="156"/>
      <c r="E26" s="155"/>
      <c r="F26" s="157"/>
      <c r="G26" s="155"/>
      <c r="H26" s="157"/>
      <c r="I26" s="155"/>
      <c r="J26" s="165"/>
      <c r="K26" s="155"/>
      <c r="L26" s="158"/>
      <c r="M26" s="103"/>
    </row>
    <row r="27" spans="1:13" s="28" customFormat="1" ht="13.5" thickBot="1">
      <c r="A27" s="14" t="s">
        <v>104</v>
      </c>
      <c r="B27" s="159">
        <v>372</v>
      </c>
      <c r="C27" s="159"/>
      <c r="D27" s="160">
        <f t="shared" si="0"/>
        <v>0</v>
      </c>
      <c r="E27" s="159"/>
      <c r="F27" s="161">
        <f>SUM(E27/B27)*100</f>
        <v>0</v>
      </c>
      <c r="G27" s="159"/>
      <c r="H27" s="161">
        <v>0</v>
      </c>
      <c r="I27" s="159"/>
      <c r="J27" s="161">
        <f t="shared" si="3"/>
        <v>0</v>
      </c>
      <c r="K27" s="159">
        <f>SUM(B27-C27-E27-G27-I27)</f>
        <v>372</v>
      </c>
      <c r="L27" s="162">
        <f>SUM(K27/B27)*100</f>
        <v>100</v>
      </c>
      <c r="M27" s="103"/>
    </row>
    <row r="28" spans="1:13" s="28" customFormat="1" ht="13.5" thickBot="1">
      <c r="A28" s="168" t="s">
        <v>91</v>
      </c>
      <c r="B28" s="24">
        <f>SUM(B27)</f>
        <v>372</v>
      </c>
      <c r="C28" s="24"/>
      <c r="D28" s="71">
        <f t="shared" si="0"/>
        <v>0</v>
      </c>
      <c r="E28" s="24"/>
      <c r="F28" s="26">
        <v>0</v>
      </c>
      <c r="G28" s="24"/>
      <c r="H28" s="26">
        <v>0</v>
      </c>
      <c r="I28" s="24"/>
      <c r="J28" s="169">
        <f t="shared" si="3"/>
        <v>0</v>
      </c>
      <c r="K28" s="24">
        <f>SUM(K27)</f>
        <v>372</v>
      </c>
      <c r="L28" s="31">
        <v>100</v>
      </c>
      <c r="M28" s="103"/>
    </row>
    <row r="29" spans="1:13" s="28" customFormat="1" ht="12.75">
      <c r="A29" s="66" t="s">
        <v>84</v>
      </c>
      <c r="B29" s="155"/>
      <c r="C29" s="155"/>
      <c r="D29" s="156"/>
      <c r="E29" s="155"/>
      <c r="F29" s="157"/>
      <c r="G29" s="155"/>
      <c r="H29" s="157"/>
      <c r="I29" s="155"/>
      <c r="J29" s="165"/>
      <c r="K29" s="155"/>
      <c r="L29" s="158"/>
      <c r="M29" s="103"/>
    </row>
    <row r="30" spans="1:13" s="28" customFormat="1" ht="13.5" thickBot="1">
      <c r="A30" s="14" t="s">
        <v>104</v>
      </c>
      <c r="B30" s="170">
        <v>447</v>
      </c>
      <c r="C30" s="171"/>
      <c r="D30" s="172">
        <f t="shared" si="0"/>
        <v>0</v>
      </c>
      <c r="E30" s="170"/>
      <c r="F30" s="173">
        <f>SUM(E30/B30)*100</f>
        <v>0</v>
      </c>
      <c r="G30" s="170"/>
      <c r="H30" s="173">
        <v>0</v>
      </c>
      <c r="I30" s="170"/>
      <c r="J30" s="161">
        <f t="shared" si="3"/>
        <v>0</v>
      </c>
      <c r="K30" s="170">
        <f>SUM(B30-C30-E30-G30-I30)</f>
        <v>447</v>
      </c>
      <c r="L30" s="174">
        <f>SUM(K30/B30)*100</f>
        <v>100</v>
      </c>
      <c r="M30" s="103"/>
    </row>
    <row r="31" spans="1:13" s="28" customFormat="1" ht="13.5" thickBot="1">
      <c r="A31" s="25" t="s">
        <v>92</v>
      </c>
      <c r="B31" s="24">
        <f>SUM(B30)</f>
        <v>447</v>
      </c>
      <c r="C31" s="24"/>
      <c r="D31" s="71">
        <f t="shared" si="0"/>
        <v>0</v>
      </c>
      <c r="E31" s="24"/>
      <c r="F31" s="26">
        <v>0</v>
      </c>
      <c r="G31" s="24"/>
      <c r="H31" s="26">
        <v>0</v>
      </c>
      <c r="I31" s="24"/>
      <c r="J31" s="169">
        <f t="shared" si="3"/>
        <v>0</v>
      </c>
      <c r="K31" s="24">
        <f>SUM(K30)</f>
        <v>447</v>
      </c>
      <c r="L31" s="31">
        <f>SUM(L30)</f>
        <v>100</v>
      </c>
      <c r="M31" s="103"/>
    </row>
    <row r="32" spans="1:13" s="28" customFormat="1" ht="12.75">
      <c r="A32" s="66" t="s">
        <v>84</v>
      </c>
      <c r="B32" s="155"/>
      <c r="C32" s="155"/>
      <c r="D32" s="156"/>
      <c r="E32" s="155"/>
      <c r="F32" s="157"/>
      <c r="G32" s="155"/>
      <c r="H32" s="157"/>
      <c r="I32" s="155"/>
      <c r="J32" s="165"/>
      <c r="K32" s="155"/>
      <c r="L32" s="158"/>
      <c r="M32" s="103"/>
    </row>
    <row r="33" spans="1:13" s="28" customFormat="1" ht="13.5" thickBot="1">
      <c r="A33" s="14" t="s">
        <v>104</v>
      </c>
      <c r="B33" s="159">
        <v>75</v>
      </c>
      <c r="C33" s="159"/>
      <c r="D33" s="160">
        <f t="shared" si="0"/>
        <v>0</v>
      </c>
      <c r="E33" s="159"/>
      <c r="F33" s="161">
        <f>SUM(E33/B33)*100</f>
        <v>0</v>
      </c>
      <c r="G33" s="159"/>
      <c r="H33" s="161">
        <v>0</v>
      </c>
      <c r="I33" s="159"/>
      <c r="J33" s="161">
        <f t="shared" si="3"/>
        <v>0</v>
      </c>
      <c r="K33" s="159">
        <f>SUM(B33-C33-E33-G33-I33)</f>
        <v>75</v>
      </c>
      <c r="L33" s="162">
        <f>SUM(K33/B33)*100</f>
        <v>100</v>
      </c>
      <c r="M33" s="103"/>
    </row>
    <row r="34" spans="1:13" s="28" customFormat="1" ht="13.5" thickBot="1">
      <c r="A34" s="25" t="s">
        <v>94</v>
      </c>
      <c r="B34" s="24">
        <f>SUM(B33)</f>
        <v>75</v>
      </c>
      <c r="C34" s="24"/>
      <c r="D34" s="175">
        <f t="shared" si="0"/>
        <v>0</v>
      </c>
      <c r="E34" s="24"/>
      <c r="F34" s="26">
        <v>0</v>
      </c>
      <c r="G34" s="24"/>
      <c r="H34" s="26">
        <v>0</v>
      </c>
      <c r="I34" s="24"/>
      <c r="J34" s="169">
        <f t="shared" si="3"/>
        <v>0</v>
      </c>
      <c r="K34" s="24">
        <f>SUM(K33)</f>
        <v>75</v>
      </c>
      <c r="L34" s="31">
        <f>SUM(L33)</f>
        <v>100</v>
      </c>
      <c r="M34" s="103"/>
    </row>
    <row r="35" spans="1:13" s="28" customFormat="1" ht="13.5" thickBot="1">
      <c r="A35" s="176" t="s">
        <v>84</v>
      </c>
      <c r="B35" s="24"/>
      <c r="C35" s="24"/>
      <c r="D35" s="71"/>
      <c r="E35" s="24"/>
      <c r="F35" s="26"/>
      <c r="G35" s="24"/>
      <c r="H35" s="26"/>
      <c r="I35" s="24"/>
      <c r="J35" s="169"/>
      <c r="K35" s="24"/>
      <c r="L35" s="31"/>
      <c r="M35" s="103"/>
    </row>
    <row r="36" spans="1:13" s="28" customFormat="1" ht="13.5" thickBot="1">
      <c r="A36" s="72" t="s">
        <v>104</v>
      </c>
      <c r="B36" s="177">
        <v>231</v>
      </c>
      <c r="C36" s="177"/>
      <c r="D36" s="178">
        <f t="shared" si="0"/>
        <v>0</v>
      </c>
      <c r="E36" s="177"/>
      <c r="F36" s="179">
        <f>SUM(E36/B36)*100</f>
        <v>0</v>
      </c>
      <c r="G36" s="177"/>
      <c r="H36" s="179">
        <v>0</v>
      </c>
      <c r="I36" s="177"/>
      <c r="J36" s="173">
        <f t="shared" si="3"/>
        <v>0</v>
      </c>
      <c r="K36" s="177">
        <f>SUM(B36-C36-E36-G36-I36)</f>
        <v>231</v>
      </c>
      <c r="L36" s="180">
        <f>SUM(K36/B36)*100</f>
        <v>100</v>
      </c>
      <c r="M36" s="103"/>
    </row>
    <row r="37" spans="1:13" s="28" customFormat="1" ht="13.5" thickBot="1">
      <c r="A37" s="181" t="s">
        <v>95</v>
      </c>
      <c r="B37" s="182">
        <f>SUM(B36)</f>
        <v>231</v>
      </c>
      <c r="C37" s="182"/>
      <c r="D37" s="175">
        <f t="shared" si="0"/>
        <v>0</v>
      </c>
      <c r="E37" s="182"/>
      <c r="F37" s="169">
        <v>0</v>
      </c>
      <c r="G37" s="182"/>
      <c r="H37" s="169">
        <v>0</v>
      </c>
      <c r="I37" s="182"/>
      <c r="J37" s="169">
        <f t="shared" si="3"/>
        <v>0</v>
      </c>
      <c r="K37" s="182">
        <f>SUM(K36)</f>
        <v>231</v>
      </c>
      <c r="L37" s="31">
        <f>SUM(L36)</f>
        <v>100</v>
      </c>
      <c r="M37" s="103"/>
    </row>
    <row r="38" spans="1:12" s="28" customFormat="1" ht="13.5" thickBot="1">
      <c r="A38" s="23" t="s">
        <v>19</v>
      </c>
      <c r="B38" s="24">
        <f>SUM(B14,B19,B22,B25,B28,B31,B34,B37)</f>
        <v>1966466</v>
      </c>
      <c r="C38" s="24">
        <f>SUM(C14,C19,C22,C25,C28,C31,C34,C37)</f>
        <v>901010</v>
      </c>
      <c r="D38" s="71">
        <f t="shared" si="0"/>
        <v>45.81874286155978</v>
      </c>
      <c r="E38" s="24">
        <f>SUM(E14,E19,E22,E25,E28,E31,E34,E37)</f>
        <v>0</v>
      </c>
      <c r="F38" s="26">
        <f>SUM(E38/B38)*100</f>
        <v>0</v>
      </c>
      <c r="G38" s="24">
        <f>SUM(G14,G19,G22,G25,G28,G31,G34,G37)</f>
        <v>39910</v>
      </c>
      <c r="H38" s="26">
        <f>SUM(G38/B38*100)</f>
        <v>2.029529114665598</v>
      </c>
      <c r="I38" s="24">
        <f>SUM(I14,I19,I22,I25,I28,I31,I34,I37)</f>
        <v>909787</v>
      </c>
      <c r="J38" s="26">
        <f>SUM(I38/B38*100)</f>
        <v>46.26507653831798</v>
      </c>
      <c r="K38" s="24">
        <f>SUM(K14,K19,K22,K25,K28,K31,K34,K37)</f>
        <v>115759</v>
      </c>
      <c r="L38" s="31">
        <f>SUM(K38/B38)*100</f>
        <v>5.886651485456651</v>
      </c>
    </row>
    <row r="39" spans="3:11" ht="12.75">
      <c r="C39" s="6"/>
      <c r="D39" s="73"/>
      <c r="E39" s="3"/>
      <c r="F39" s="2"/>
      <c r="G39" s="3"/>
      <c r="H39" s="2"/>
      <c r="I39" s="2"/>
      <c r="J39" s="2"/>
      <c r="K39" s="6"/>
    </row>
    <row r="40" ht="12.75">
      <c r="B40" s="3"/>
    </row>
    <row r="42" ht="12.75">
      <c r="B42" s="3"/>
    </row>
  </sheetData>
  <sheetProtection/>
  <mergeCells count="2">
    <mergeCell ref="K1:L1"/>
    <mergeCell ref="A2:L3"/>
  </mergeCells>
  <printOptions/>
  <pageMargins left="0.7480314960629921" right="0.15748031496062992" top="0.5905511811023623" bottom="0.3937007874015748" header="0.2755905511811024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"/>
  <sheetViews>
    <sheetView zoomScalePageLayoutView="0" workbookViewId="0" topLeftCell="B1">
      <selection activeCell="A2" sqref="A2:M3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49" customWidth="1"/>
    <col min="9" max="9" width="9.125" style="53" customWidth="1"/>
    <col min="10" max="10" width="9.75390625" style="5" customWidth="1"/>
    <col min="11" max="11" width="10.00390625" style="5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94" t="s">
        <v>31</v>
      </c>
      <c r="M1" s="194"/>
    </row>
    <row r="2" spans="2:13" ht="18" customHeight="1">
      <c r="B2" s="193" t="s">
        <v>111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2:13" ht="12" customHeight="1" thickBot="1">
      <c r="B3" s="29"/>
      <c r="C3" s="38"/>
      <c r="D3" s="38"/>
      <c r="E3" s="39"/>
      <c r="F3" s="38"/>
      <c r="G3" s="40"/>
      <c r="H3" s="50"/>
      <c r="I3" s="54"/>
      <c r="J3" s="41"/>
      <c r="K3" s="58"/>
      <c r="L3" s="42"/>
      <c r="M3" s="43" t="s">
        <v>0</v>
      </c>
    </row>
    <row r="4" spans="2:13" s="46" customFormat="1" ht="90.75" customHeight="1" thickBot="1">
      <c r="B4" s="30" t="s">
        <v>2</v>
      </c>
      <c r="C4" s="35" t="s">
        <v>68</v>
      </c>
      <c r="D4" s="35" t="s">
        <v>82</v>
      </c>
      <c r="E4" s="36" t="s">
        <v>74</v>
      </c>
      <c r="F4" s="35" t="s">
        <v>63</v>
      </c>
      <c r="G4" s="36" t="s">
        <v>75</v>
      </c>
      <c r="H4" s="35" t="s">
        <v>83</v>
      </c>
      <c r="I4" s="36" t="s">
        <v>77</v>
      </c>
      <c r="J4" s="36" t="s">
        <v>80</v>
      </c>
      <c r="K4" s="36" t="s">
        <v>49</v>
      </c>
      <c r="L4" s="37" t="s">
        <v>78</v>
      </c>
      <c r="M4" s="45" t="s">
        <v>79</v>
      </c>
    </row>
    <row r="5" spans="2:13" ht="12" customHeight="1">
      <c r="B5" s="66" t="s">
        <v>81</v>
      </c>
      <c r="C5" s="19"/>
      <c r="D5" s="20"/>
      <c r="E5" s="21"/>
      <c r="F5" s="20"/>
      <c r="G5" s="17"/>
      <c r="H5" s="20"/>
      <c r="I5" s="55"/>
      <c r="J5" s="16"/>
      <c r="K5" s="17"/>
      <c r="L5" s="16">
        <f>SUM(C5-D5-F5-H5-J5)</f>
        <v>0</v>
      </c>
      <c r="M5" s="22"/>
    </row>
    <row r="6" spans="2:13" ht="12" customHeight="1">
      <c r="B6" s="14" t="s">
        <v>107</v>
      </c>
      <c r="C6" s="19">
        <v>159085</v>
      </c>
      <c r="D6" s="20">
        <v>60203</v>
      </c>
      <c r="E6" s="21">
        <f>SUM(D6/C6)*100</f>
        <v>37.843291322249115</v>
      </c>
      <c r="F6" s="20"/>
      <c r="G6" s="17">
        <f>SUM(F6/C6)*100</f>
        <v>0</v>
      </c>
      <c r="H6" s="20"/>
      <c r="I6" s="55">
        <f>SUM(H6/C6)*100</f>
        <v>0</v>
      </c>
      <c r="J6" s="16">
        <f>71844+27038</f>
        <v>98882</v>
      </c>
      <c r="K6" s="17">
        <f>SUM(J6/C6)*100</f>
        <v>62.156708677750885</v>
      </c>
      <c r="L6" s="16">
        <f>SUM(C6-D6-F6-H6-J6)</f>
        <v>0</v>
      </c>
      <c r="M6" s="22">
        <f>SUM(L6/C6)*100</f>
        <v>0</v>
      </c>
    </row>
    <row r="7" spans="2:13" ht="12" customHeight="1">
      <c r="B7" s="67" t="s">
        <v>84</v>
      </c>
      <c r="C7" s="19"/>
      <c r="D7" s="20"/>
      <c r="E7" s="21"/>
      <c r="F7" s="20"/>
      <c r="G7" s="21"/>
      <c r="H7" s="20"/>
      <c r="I7" s="55"/>
      <c r="J7" s="16"/>
      <c r="K7" s="17"/>
      <c r="L7" s="16"/>
      <c r="M7" s="22"/>
    </row>
    <row r="8" spans="2:13" ht="12" customHeight="1" thickBot="1">
      <c r="B8" s="14" t="s">
        <v>104</v>
      </c>
      <c r="C8" s="19">
        <f>30003+59916</f>
        <v>89919</v>
      </c>
      <c r="D8" s="20"/>
      <c r="E8" s="21">
        <f>SUM(D8/C8)*100</f>
        <v>0</v>
      </c>
      <c r="F8" s="20"/>
      <c r="G8" s="21">
        <f>SUM(F8/C8)*100</f>
        <v>0</v>
      </c>
      <c r="H8" s="20">
        <v>77993</v>
      </c>
      <c r="I8" s="55">
        <f>SUM(H8/C8)*100</f>
        <v>86.73695214582013</v>
      </c>
      <c r="J8" s="16">
        <v>11926</v>
      </c>
      <c r="K8" s="17">
        <f>SUM(J8/C8)*100</f>
        <v>13.263047854179874</v>
      </c>
      <c r="L8" s="16">
        <f>SUM(C8-D8-F8-H8-J8)</f>
        <v>0</v>
      </c>
      <c r="M8" s="22">
        <f>SUM(L8/C8)*100</f>
        <v>0</v>
      </c>
    </row>
    <row r="9" spans="2:13" s="28" customFormat="1" ht="12" customHeight="1" thickBot="1">
      <c r="B9" s="25" t="s">
        <v>40</v>
      </c>
      <c r="C9" s="24">
        <f>SUM(C5:C8)</f>
        <v>249004</v>
      </c>
      <c r="D9" s="24">
        <f>SUM(D5:D8)</f>
        <v>60203</v>
      </c>
      <c r="E9" s="47">
        <f>SUM(D9/C9)*100</f>
        <v>24.17752325263851</v>
      </c>
      <c r="F9" s="24">
        <f>SUM(F5:F8)</f>
        <v>0</v>
      </c>
      <c r="G9" s="47">
        <f>SUM(F9/C9)*100</f>
        <v>0</v>
      </c>
      <c r="H9" s="24">
        <f>SUM(H5:H8)</f>
        <v>77993</v>
      </c>
      <c r="I9" s="47">
        <f>SUM(H9/C9)*100</f>
        <v>31.32198679539285</v>
      </c>
      <c r="J9" s="24">
        <f>SUM(J5:J8)</f>
        <v>110808</v>
      </c>
      <c r="K9" s="26">
        <f>SUM(J9/C9)*100</f>
        <v>44.50048995196864</v>
      </c>
      <c r="L9" s="24">
        <f>SUM(L5:L8)</f>
        <v>0</v>
      </c>
      <c r="M9" s="64">
        <f>SUM(L9/C9)*100</f>
        <v>0</v>
      </c>
    </row>
    <row r="10" spans="2:13" ht="12" customHeight="1">
      <c r="B10" s="67" t="s">
        <v>84</v>
      </c>
      <c r="C10" s="119"/>
      <c r="D10" s="120"/>
      <c r="E10" s="121"/>
      <c r="F10" s="120"/>
      <c r="G10" s="121"/>
      <c r="H10" s="120"/>
      <c r="I10" s="122"/>
      <c r="J10" s="120"/>
      <c r="K10" s="121"/>
      <c r="L10" s="120"/>
      <c r="M10" s="123"/>
    </row>
    <row r="11" spans="2:13" ht="12" customHeight="1" thickBot="1">
      <c r="B11" s="14" t="s">
        <v>104</v>
      </c>
      <c r="C11" s="98">
        <v>15197</v>
      </c>
      <c r="D11" s="100"/>
      <c r="E11" s="101">
        <f>SUM(D11/C11)*100</f>
        <v>0</v>
      </c>
      <c r="F11" s="100"/>
      <c r="G11" s="101">
        <f>SUM(F11/C11)*100</f>
        <v>0</v>
      </c>
      <c r="H11" s="100"/>
      <c r="I11" s="124">
        <f>SUM(H11/C11)*100</f>
        <v>0</v>
      </c>
      <c r="J11" s="100"/>
      <c r="K11" s="101">
        <f>SUM(J11/C11)*100</f>
        <v>0</v>
      </c>
      <c r="L11" s="100">
        <f>SUM(C11-D11-F11-H11-J11)</f>
        <v>15197</v>
      </c>
      <c r="M11" s="102">
        <f>SUM(L11/C11)*100</f>
        <v>100</v>
      </c>
    </row>
    <row r="12" spans="2:13" ht="12" customHeight="1" thickBot="1">
      <c r="B12" s="25" t="s">
        <v>53</v>
      </c>
      <c r="C12" s="24">
        <f>SUM(C10:C11)</f>
        <v>15197</v>
      </c>
      <c r="D12" s="24">
        <f>SUM(D10:D11)</f>
        <v>0</v>
      </c>
      <c r="E12" s="47">
        <f>SUM(D12/C12)*100</f>
        <v>0</v>
      </c>
      <c r="F12" s="24">
        <f aca="true" t="shared" si="0" ref="F12:L12">SUM(F10:F11)</f>
        <v>0</v>
      </c>
      <c r="G12" s="47">
        <f t="shared" si="0"/>
        <v>0</v>
      </c>
      <c r="H12" s="24">
        <f t="shared" si="0"/>
        <v>0</v>
      </c>
      <c r="I12" s="47">
        <f t="shared" si="0"/>
        <v>0</v>
      </c>
      <c r="J12" s="24">
        <f t="shared" si="0"/>
        <v>0</v>
      </c>
      <c r="K12" s="26">
        <f t="shared" si="0"/>
        <v>0</v>
      </c>
      <c r="L12" s="24">
        <f t="shared" si="0"/>
        <v>15197</v>
      </c>
      <c r="M12" s="64">
        <f>SUM(L12/C12)*100</f>
        <v>100</v>
      </c>
    </row>
    <row r="13" spans="2:13" ht="12" customHeight="1">
      <c r="B13" s="67" t="s">
        <v>84</v>
      </c>
      <c r="C13" s="155"/>
      <c r="D13" s="155"/>
      <c r="E13" s="183"/>
      <c r="F13" s="155"/>
      <c r="G13" s="183"/>
      <c r="H13" s="155"/>
      <c r="I13" s="183"/>
      <c r="J13" s="155"/>
      <c r="K13" s="141"/>
      <c r="L13" s="155"/>
      <c r="M13" s="184"/>
    </row>
    <row r="14" spans="2:13" ht="12" customHeight="1" thickBot="1">
      <c r="B14" s="14" t="s">
        <v>104</v>
      </c>
      <c r="C14" s="159">
        <v>784</v>
      </c>
      <c r="D14" s="182"/>
      <c r="E14" s="185">
        <f>SUM(D14/C14)*100</f>
        <v>0</v>
      </c>
      <c r="F14" s="182"/>
      <c r="G14" s="185">
        <f>SUM(F14/C14)*100</f>
        <v>0</v>
      </c>
      <c r="H14" s="182"/>
      <c r="I14" s="185">
        <f>SUM(H14/C14)*100</f>
        <v>0</v>
      </c>
      <c r="J14" s="182"/>
      <c r="K14" s="169">
        <f>SUM(J14/C14)*100</f>
        <v>0</v>
      </c>
      <c r="L14" s="182">
        <f>SUM(C14-D14-F14-H14-J14)</f>
        <v>784</v>
      </c>
      <c r="M14" s="186">
        <f>SUM(L14/C14)*100</f>
        <v>100</v>
      </c>
    </row>
    <row r="15" spans="2:13" ht="12" customHeight="1" thickBot="1">
      <c r="B15" s="25" t="s">
        <v>93</v>
      </c>
      <c r="C15" s="24">
        <f>SUM(C14)</f>
        <v>784</v>
      </c>
      <c r="D15" s="24">
        <f aca="true" t="shared" si="1" ref="D15:M15">SUM(D14)</f>
        <v>0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784</v>
      </c>
      <c r="M15" s="187">
        <f t="shared" si="1"/>
        <v>100</v>
      </c>
    </row>
    <row r="16" spans="2:13" ht="12" customHeight="1">
      <c r="B16" s="67" t="s">
        <v>84</v>
      </c>
      <c r="C16" s="155"/>
      <c r="D16" s="155"/>
      <c r="E16" s="183"/>
      <c r="F16" s="155"/>
      <c r="G16" s="183"/>
      <c r="H16" s="155"/>
      <c r="I16" s="183"/>
      <c r="J16" s="155"/>
      <c r="K16" s="141"/>
      <c r="L16" s="155"/>
      <c r="M16" s="184"/>
    </row>
    <row r="17" spans="2:13" ht="12" customHeight="1" thickBot="1">
      <c r="B17" s="14" t="s">
        <v>104</v>
      </c>
      <c r="C17" s="159">
        <v>291</v>
      </c>
      <c r="D17" s="182"/>
      <c r="E17" s="185">
        <f>SUM(D17/C17)*100</f>
        <v>0</v>
      </c>
      <c r="F17" s="182"/>
      <c r="G17" s="185">
        <f>SUM(F17/C17)*100</f>
        <v>0</v>
      </c>
      <c r="H17" s="182"/>
      <c r="I17" s="185">
        <f>SUM(H17/C17)*100</f>
        <v>0</v>
      </c>
      <c r="J17" s="182"/>
      <c r="K17" s="169">
        <f>SUM(J17/C17)*100</f>
        <v>0</v>
      </c>
      <c r="L17" s="182">
        <f>SUM(C17-D17-F17-H17-J17)</f>
        <v>291</v>
      </c>
      <c r="M17" s="186">
        <f>SUM(L17/C17)*100</f>
        <v>100</v>
      </c>
    </row>
    <row r="18" spans="2:13" ht="12" customHeight="1" thickBot="1">
      <c r="B18" s="25" t="s">
        <v>94</v>
      </c>
      <c r="C18" s="24">
        <f>SUM(C17)</f>
        <v>291</v>
      </c>
      <c r="D18" s="24">
        <f aca="true" t="shared" si="2" ref="D18:M18">SUM(D17)</f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291</v>
      </c>
      <c r="M18" s="187">
        <f t="shared" si="2"/>
        <v>100</v>
      </c>
    </row>
    <row r="19" spans="2:13" ht="12" customHeight="1">
      <c r="B19" s="188" t="s">
        <v>84</v>
      </c>
      <c r="C19" s="155"/>
      <c r="D19" s="155"/>
      <c r="E19" s="183"/>
      <c r="F19" s="155"/>
      <c r="G19" s="183"/>
      <c r="H19" s="155"/>
      <c r="I19" s="183"/>
      <c r="J19" s="155"/>
      <c r="K19" s="141"/>
      <c r="L19" s="155"/>
      <c r="M19" s="184"/>
    </row>
    <row r="20" spans="2:13" ht="12" customHeight="1" thickBot="1">
      <c r="B20" s="97" t="s">
        <v>104</v>
      </c>
      <c r="C20" s="159">
        <f>170+559</f>
        <v>729</v>
      </c>
      <c r="D20" s="182"/>
      <c r="E20" s="185">
        <f>SUM(D20/C20)*100</f>
        <v>0</v>
      </c>
      <c r="F20" s="182"/>
      <c r="G20" s="185">
        <f>SUM(F20/C20)*100</f>
        <v>0</v>
      </c>
      <c r="H20" s="182"/>
      <c r="I20" s="185">
        <f>SUM(H20/C20)*100</f>
        <v>0</v>
      </c>
      <c r="J20" s="182"/>
      <c r="K20" s="169">
        <f>SUM(J20/C20)*100</f>
        <v>0</v>
      </c>
      <c r="L20" s="182">
        <f>SUM(C20-D20-F20-H20-J20)</f>
        <v>729</v>
      </c>
      <c r="M20" s="186">
        <f>SUM(L20/C20)*100</f>
        <v>100</v>
      </c>
    </row>
    <row r="21" spans="2:13" ht="12" customHeight="1" thickBot="1">
      <c r="B21" s="25" t="s">
        <v>95</v>
      </c>
      <c r="C21" s="24">
        <f>SUM(C20)</f>
        <v>729</v>
      </c>
      <c r="D21" s="24">
        <f aca="true" t="shared" si="3" ref="D21:M21">SUM(D20)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729</v>
      </c>
      <c r="M21" s="187">
        <f t="shared" si="3"/>
        <v>100</v>
      </c>
    </row>
    <row r="22" spans="2:16" s="4" customFormat="1" ht="12" customHeight="1" thickBot="1">
      <c r="B22" s="23" t="s">
        <v>19</v>
      </c>
      <c r="C22" s="24">
        <f>SUM(C12,C9,C15,C18,C21)</f>
        <v>266005</v>
      </c>
      <c r="D22" s="24">
        <f aca="true" t="shared" si="4" ref="D22:L22">SUM(D12,D9,D15,D18,D21)</f>
        <v>60203</v>
      </c>
      <c r="E22" s="47">
        <f>SUM(D22/C22)*100</f>
        <v>22.63228134809496</v>
      </c>
      <c r="F22" s="24">
        <f t="shared" si="4"/>
        <v>0</v>
      </c>
      <c r="G22" s="24">
        <f t="shared" si="4"/>
        <v>0</v>
      </c>
      <c r="H22" s="24">
        <f t="shared" si="4"/>
        <v>77993</v>
      </c>
      <c r="I22" s="47">
        <f>SUM(H22/C22)*100</f>
        <v>29.32012556154959</v>
      </c>
      <c r="J22" s="24">
        <f t="shared" si="4"/>
        <v>110808</v>
      </c>
      <c r="K22" s="47">
        <f>SUM(J22/C22)*100</f>
        <v>41.6563598428601</v>
      </c>
      <c r="L22" s="24">
        <f t="shared" si="4"/>
        <v>17001</v>
      </c>
      <c r="M22" s="64">
        <f>SUM(L22/C22)*100</f>
        <v>6.391233247495348</v>
      </c>
      <c r="O22" s="65"/>
      <c r="P22" s="65"/>
    </row>
    <row r="23" spans="2:13" ht="12.75">
      <c r="B23" s="8"/>
      <c r="C23" s="9"/>
      <c r="D23" s="9"/>
      <c r="E23" s="13"/>
      <c r="F23" s="9"/>
      <c r="G23" s="10"/>
      <c r="H23" s="51"/>
      <c r="I23" s="56"/>
      <c r="J23" s="11"/>
      <c r="K23" s="59"/>
      <c r="L23" s="12"/>
      <c r="M23" s="8"/>
    </row>
    <row r="24" spans="8:11" s="3" customFormat="1" ht="12.75">
      <c r="H24" s="49"/>
      <c r="I24" s="49"/>
      <c r="J24" s="49"/>
      <c r="K24" s="49"/>
    </row>
    <row r="25" spans="5:6" ht="12.75">
      <c r="E25" s="7"/>
      <c r="F25" s="2"/>
    </row>
    <row r="26" ht="12.75">
      <c r="J26" s="49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2" sqref="A2:L3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63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29"/>
      <c r="B1" s="29"/>
      <c r="C1" s="29"/>
      <c r="D1" s="60"/>
      <c r="E1" s="29"/>
      <c r="F1" s="29"/>
      <c r="G1" s="29"/>
      <c r="H1" s="29"/>
      <c r="I1" s="29"/>
      <c r="J1" s="29"/>
      <c r="K1" s="191" t="s">
        <v>32</v>
      </c>
      <c r="L1" s="191"/>
    </row>
    <row r="2" spans="1:12" ht="12.75">
      <c r="A2" s="192" t="s">
        <v>112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2.7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ht="13.5" thickBot="1">
      <c r="A4" s="48"/>
      <c r="B4" s="48"/>
      <c r="C4" s="48"/>
      <c r="D4" s="61"/>
      <c r="E4" s="32"/>
      <c r="F4" s="33"/>
      <c r="G4" s="32"/>
      <c r="H4" s="33"/>
      <c r="I4" s="33"/>
      <c r="J4" s="33"/>
      <c r="K4" s="34"/>
      <c r="L4" s="43" t="s">
        <v>0</v>
      </c>
    </row>
    <row r="5" spans="1:12" ht="92.25" customHeight="1" thickBot="1">
      <c r="A5" s="30" t="s">
        <v>2</v>
      </c>
      <c r="B5" s="35" t="s">
        <v>73</v>
      </c>
      <c r="C5" s="35" t="s">
        <v>82</v>
      </c>
      <c r="D5" s="36" t="s">
        <v>74</v>
      </c>
      <c r="E5" s="35" t="s">
        <v>63</v>
      </c>
      <c r="F5" s="36" t="s">
        <v>75</v>
      </c>
      <c r="G5" s="35" t="s">
        <v>83</v>
      </c>
      <c r="H5" s="36" t="s">
        <v>77</v>
      </c>
      <c r="I5" s="36" t="s">
        <v>80</v>
      </c>
      <c r="J5" s="36" t="s">
        <v>49</v>
      </c>
      <c r="K5" s="37" t="s">
        <v>78</v>
      </c>
      <c r="L5" s="45" t="s">
        <v>79</v>
      </c>
    </row>
    <row r="6" spans="1:12" ht="12.75">
      <c r="A6" s="66"/>
      <c r="B6" s="15"/>
      <c r="C6" s="15"/>
      <c r="D6" s="68"/>
      <c r="E6" s="16"/>
      <c r="F6" s="17"/>
      <c r="G6" s="16"/>
      <c r="H6" s="17"/>
      <c r="I6" s="16"/>
      <c r="J6" s="17"/>
      <c r="K6" s="20"/>
      <c r="L6" s="18"/>
    </row>
    <row r="7" spans="1:12" ht="12.75">
      <c r="A7" s="14" t="s">
        <v>96</v>
      </c>
      <c r="B7" s="19">
        <v>10800000</v>
      </c>
      <c r="C7" s="19"/>
      <c r="D7" s="69">
        <f>SUM(C7/B7)*100</f>
        <v>0</v>
      </c>
      <c r="E7" s="20"/>
      <c r="F7" s="21">
        <f>SUM(E7/B7)*100</f>
        <v>0</v>
      </c>
      <c r="G7" s="20"/>
      <c r="H7" s="21">
        <f>SUM(G7/B7*100)</f>
        <v>0</v>
      </c>
      <c r="I7" s="20"/>
      <c r="J7" s="17">
        <f>SUM(I7/B7*100)</f>
        <v>0</v>
      </c>
      <c r="K7" s="20">
        <f>SUM(B7-C7-E7-G7-I7)</f>
        <v>10800000</v>
      </c>
      <c r="L7" s="22">
        <f>SUM(K7/B7)*100</f>
        <v>100</v>
      </c>
    </row>
    <row r="8" spans="1:12" ht="13.5" thickBot="1">
      <c r="A8" s="14"/>
      <c r="B8" s="19"/>
      <c r="C8" s="19"/>
      <c r="D8" s="69"/>
      <c r="E8" s="20"/>
      <c r="F8" s="21"/>
      <c r="G8" s="20"/>
      <c r="H8" s="21"/>
      <c r="I8" s="20"/>
      <c r="J8" s="17"/>
      <c r="K8" s="20"/>
      <c r="L8" s="22"/>
    </row>
    <row r="9" spans="1:12" s="28" customFormat="1" ht="13.5" thickBot="1">
      <c r="A9" s="25" t="s">
        <v>40</v>
      </c>
      <c r="B9" s="24">
        <f>SUM(B6:B8)</f>
        <v>10800000</v>
      </c>
      <c r="C9" s="24">
        <f>SUM(C6:C8)</f>
        <v>0</v>
      </c>
      <c r="D9" s="70">
        <f>SUM(C9/B9)*100</f>
        <v>0</v>
      </c>
      <c r="E9" s="24">
        <f>SUM(E6:E8)</f>
        <v>0</v>
      </c>
      <c r="F9" s="47">
        <f>SUM(E9/B9*100)</f>
        <v>0</v>
      </c>
      <c r="G9" s="24">
        <f>SUM(G6:G8)</f>
        <v>0</v>
      </c>
      <c r="H9" s="26">
        <f>SUM(G9/B9*100)</f>
        <v>0</v>
      </c>
      <c r="I9" s="24">
        <f>SUM(I6:I8)</f>
        <v>0</v>
      </c>
      <c r="J9" s="26">
        <f>SUM(I9/B9*100)</f>
        <v>0</v>
      </c>
      <c r="K9" s="24">
        <f>SUM(K6:K8)</f>
        <v>10800000</v>
      </c>
      <c r="L9" s="31">
        <f>SUM(K9/B9)*100</f>
        <v>100</v>
      </c>
    </row>
    <row r="10" spans="3:11" ht="12.75">
      <c r="C10" s="6"/>
      <c r="D10" s="62"/>
      <c r="E10" s="3"/>
      <c r="F10" s="2"/>
      <c r="G10" s="3"/>
      <c r="H10" s="2"/>
      <c r="I10" s="2"/>
      <c r="J10" s="2"/>
      <c r="K10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tabSelected="1" zoomScalePageLayoutView="0" workbookViewId="0" topLeftCell="B1">
      <selection activeCell="A2" sqref="A2:M3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49" customWidth="1"/>
    <col min="9" max="9" width="8.375" style="53" customWidth="1"/>
    <col min="10" max="10" width="9.75390625" style="5" customWidth="1"/>
    <col min="11" max="11" width="10.00390625" style="5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94" t="s">
        <v>31</v>
      </c>
      <c r="M1" s="194"/>
    </row>
    <row r="2" spans="2:13" ht="18" customHeight="1">
      <c r="B2" s="193" t="s">
        <v>113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2:13" ht="12" customHeight="1" thickBot="1">
      <c r="B3" s="29"/>
      <c r="C3" s="38"/>
      <c r="D3" s="38"/>
      <c r="E3" s="39"/>
      <c r="F3" s="38"/>
      <c r="G3" s="40"/>
      <c r="H3" s="50"/>
      <c r="I3" s="54"/>
      <c r="J3" s="41"/>
      <c r="K3" s="58"/>
      <c r="L3" s="42"/>
      <c r="M3" s="43" t="s">
        <v>0</v>
      </c>
    </row>
    <row r="4" spans="2:13" s="46" customFormat="1" ht="87" customHeight="1" thickBot="1">
      <c r="B4" s="30" t="s">
        <v>2</v>
      </c>
      <c r="C4" s="35" t="s">
        <v>68</v>
      </c>
      <c r="D4" s="35" t="s">
        <v>82</v>
      </c>
      <c r="E4" s="36" t="s">
        <v>74</v>
      </c>
      <c r="F4" s="35" t="s">
        <v>63</v>
      </c>
      <c r="G4" s="36" t="s">
        <v>75</v>
      </c>
      <c r="H4" s="35" t="s">
        <v>83</v>
      </c>
      <c r="I4" s="36" t="s">
        <v>77</v>
      </c>
      <c r="J4" s="36" t="s">
        <v>80</v>
      </c>
      <c r="K4" s="36" t="s">
        <v>49</v>
      </c>
      <c r="L4" s="37" t="s">
        <v>78</v>
      </c>
      <c r="M4" s="45" t="s">
        <v>79</v>
      </c>
    </row>
    <row r="5" spans="2:13" ht="12" customHeight="1">
      <c r="B5" s="66" t="s">
        <v>100</v>
      </c>
      <c r="C5" s="19"/>
      <c r="D5" s="20"/>
      <c r="E5" s="21"/>
      <c r="F5" s="20"/>
      <c r="G5" s="17"/>
      <c r="H5" s="20"/>
      <c r="I5" s="55"/>
      <c r="J5" s="16"/>
      <c r="K5" s="17"/>
      <c r="L5" s="16">
        <f>SUM(C5-D5-F5-H5-J5)</f>
        <v>0</v>
      </c>
      <c r="M5" s="22"/>
    </row>
    <row r="6" spans="2:13" ht="12" customHeight="1">
      <c r="B6" s="14" t="s">
        <v>97</v>
      </c>
      <c r="C6" s="19">
        <v>4599640</v>
      </c>
      <c r="D6" s="20"/>
      <c r="E6" s="21">
        <f>SUM(D6/C6)*100</f>
        <v>0</v>
      </c>
      <c r="F6" s="20"/>
      <c r="G6" s="17">
        <f>SUM(F6/C6)*100</f>
        <v>0</v>
      </c>
      <c r="H6" s="20"/>
      <c r="I6" s="55">
        <f>SUM(H6/C6)*100</f>
        <v>0</v>
      </c>
      <c r="J6" s="16"/>
      <c r="K6" s="17">
        <f>SUM(J6/C6)*100</f>
        <v>0</v>
      </c>
      <c r="L6" s="16">
        <f>SUM(C6-D6-F6-H6-J6)</f>
        <v>4599640</v>
      </c>
      <c r="M6" s="22">
        <f>SUM(L6/C6)*100</f>
        <v>100</v>
      </c>
    </row>
    <row r="7" spans="2:13" ht="12" customHeight="1">
      <c r="B7" s="14" t="s">
        <v>98</v>
      </c>
      <c r="C7" s="19">
        <v>139135</v>
      </c>
      <c r="D7" s="20"/>
      <c r="E7" s="21">
        <f>SUM(D7/C7)*100</f>
        <v>0</v>
      </c>
      <c r="F7" s="20"/>
      <c r="G7" s="21">
        <f>SUM(F7/C7)*100</f>
        <v>0</v>
      </c>
      <c r="H7" s="20"/>
      <c r="I7" s="55">
        <f>SUM(H7/C7)*100</f>
        <v>0</v>
      </c>
      <c r="J7" s="16"/>
      <c r="K7" s="17">
        <f>SUM(J7/C7)*100</f>
        <v>0</v>
      </c>
      <c r="L7" s="16">
        <f>SUM(C7-D7-F7-H7-J7)</f>
        <v>139135</v>
      </c>
      <c r="M7" s="22">
        <f>SUM(L7/C7)*100</f>
        <v>100</v>
      </c>
    </row>
    <row r="8" spans="2:13" ht="12" customHeight="1" thickBot="1">
      <c r="B8" s="14" t="s">
        <v>99</v>
      </c>
      <c r="C8" s="19">
        <v>78915</v>
      </c>
      <c r="D8" s="20"/>
      <c r="E8" s="21">
        <f>SUM(D8/C8)*100</f>
        <v>0</v>
      </c>
      <c r="F8" s="20"/>
      <c r="G8" s="21">
        <f>SUM(F8/C8)*100</f>
        <v>0</v>
      </c>
      <c r="H8" s="20"/>
      <c r="I8" s="55">
        <f>SUM(H8/C8)*100</f>
        <v>0</v>
      </c>
      <c r="J8" s="16"/>
      <c r="K8" s="17">
        <f>SUM(J8/C8)*100</f>
        <v>0</v>
      </c>
      <c r="L8" s="16">
        <f>SUM(C8-D8-F8-H8-J8)</f>
        <v>78915</v>
      </c>
      <c r="M8" s="22">
        <f>SUM(L8/C8)*100</f>
        <v>100</v>
      </c>
    </row>
    <row r="9" spans="2:13" s="28" customFormat="1" ht="12" customHeight="1" thickBot="1">
      <c r="B9" s="25" t="s">
        <v>40</v>
      </c>
      <c r="C9" s="24">
        <f>SUM(C5:C8)</f>
        <v>4817690</v>
      </c>
      <c r="D9" s="24">
        <f>SUM(D5:D8)</f>
        <v>0</v>
      </c>
      <c r="E9" s="47">
        <f>SUM(D9/C9)*100</f>
        <v>0</v>
      </c>
      <c r="F9" s="24">
        <f>SUM(F5:F8)</f>
        <v>0</v>
      </c>
      <c r="G9" s="47">
        <f>SUM(F9/C9)*100</f>
        <v>0</v>
      </c>
      <c r="H9" s="24">
        <f>SUM(H5:H8)</f>
        <v>0</v>
      </c>
      <c r="I9" s="47">
        <f>SUM(H9/C9)*100</f>
        <v>0</v>
      </c>
      <c r="J9" s="24">
        <f>SUM(J5:J8)</f>
        <v>0</v>
      </c>
      <c r="K9" s="26">
        <f>SUM(J9/C9)*100</f>
        <v>0</v>
      </c>
      <c r="L9" s="24">
        <f>SUM(L5:L8)</f>
        <v>4817690</v>
      </c>
      <c r="M9" s="64">
        <f>SUM(L9/C9)*100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2018-05-28T11:13:39Z</cp:lastPrinted>
  <dcterms:created xsi:type="dcterms:W3CDTF">2009-02-04T11:37:44Z</dcterms:created>
  <dcterms:modified xsi:type="dcterms:W3CDTF">2018-05-28T15:59:29Z</dcterms:modified>
  <cp:category/>
  <cp:version/>
  <cp:contentType/>
  <cp:contentStatus/>
</cp:coreProperties>
</file>