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57" activeTab="3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3.sz.mell" sheetId="18" r:id="rId18"/>
    <sheet name="RM_5.4.sz.mell" sheetId="19" r:id="rId19"/>
    <sheet name="RM_5.4.1.sz.mell" sheetId="20" r:id="rId20"/>
    <sheet name="RM_5.4.2.sz.mell" sheetId="21" r:id="rId21"/>
    <sheet name="RM_5.5.sz.mell" sheetId="22" r:id="rId22"/>
    <sheet name="RM_5.5.1.sz.mell" sheetId="23" r:id="rId23"/>
    <sheet name="RM_5.5.2.sz.mell" sheetId="24" r:id="rId24"/>
    <sheet name="RM_6.sz.mell" sheetId="25" r:id="rId25"/>
    <sheet name="Munka1" sheetId="26" r:id="rId26"/>
  </sheets>
  <definedNames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6">'RM_5.2.sz.mell'!$1:$7</definedName>
    <definedName name="_xlnm.Print_Titles" localSheetId="17">'RM_5.3.sz.mell'!$1:$7</definedName>
    <definedName name="_xlnm.Print_Titles" localSheetId="19">'RM_5.4.1.sz.mell'!$1:$7</definedName>
    <definedName name="_xlnm.Print_Titles" localSheetId="20">'RM_5.4.2.sz.mell'!$1:$7</definedName>
    <definedName name="_xlnm.Print_Titles" localSheetId="18">'RM_5.4.sz.mell'!$1:$7</definedName>
    <definedName name="_xlnm.Print_Titles" localSheetId="22">'RM_5.5.1.sz.mell'!$1:$7</definedName>
    <definedName name="_xlnm.Print_Titles" localSheetId="23">'RM_5.5.2.sz.mell'!$1:$7</definedName>
    <definedName name="_xlnm.Print_Titles" localSheetId="21">'RM_5.5.sz.mell'!$1:$7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<sst xmlns="http://schemas.openxmlformats.org/spreadsheetml/2006/main" count="3995" uniqueCount="651">
  <si>
    <t>Tartalomjegyzék</t>
  </si>
  <si>
    <t>Dokumentum neve</t>
  </si>
  <si>
    <t>A dokumentációs rendszerben található táblázatok listája</t>
  </si>
  <si>
    <t>Ugrás</t>
  </si>
  <si>
    <t>KÖLTSÉGVETÉSI RENDLET MÓDOSÍTÁSA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</si>
  <si>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</si>
  <si>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</si>
  <si>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</si>
  <si>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</si>
  <si>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</si>
  <si>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2019. évi költségvetési rendelet összevont bevételeinek kiadásainak módosítása</t>
  </si>
  <si>
    <t>1.2. melléklet</t>
  </si>
  <si>
    <t>2019. évi költségvetési rendelet kötelező feladatok bevételeinek kiadásainak módosítása</t>
  </si>
  <si>
    <t>1.3. melléklet</t>
  </si>
  <si>
    <t>2019. évi költségvetési rendelet önként vállalt feladatok bevételeinek kiadásainak módosítása</t>
  </si>
  <si>
    <t>1.4. melléklet</t>
  </si>
  <si>
    <t>2019. évi költségvetési rendelet államigazgatási feladatok bevételeinek kiadásainak módosítása</t>
  </si>
  <si>
    <t>2.1. melléklet</t>
  </si>
  <si>
    <t>Működési célú bevételek, kiadások mérlegének módosítása</t>
  </si>
  <si>
    <t>2.2. melléklet</t>
  </si>
  <si>
    <t>Felhalmozási célú bevételek, kiadások mérlegének módosítása</t>
  </si>
  <si>
    <t>Ellenőrző lista</t>
  </si>
  <si>
    <t>Ellenőrzés az 1-es és 2.1., 2.2. mellékletek adati esetében</t>
  </si>
  <si>
    <t>3. melléklet</t>
  </si>
  <si>
    <t>Beruházási (felhalmozási) kiadások előirányzatának módosítása beruházásonként</t>
  </si>
  <si>
    <t>4. melléklet</t>
  </si>
  <si>
    <t>Felújítási kiadások előirányzatának módosítása felújításonként</t>
  </si>
  <si>
    <t>5.1. melléklet</t>
  </si>
  <si>
    <t>Összes  bevétel, kiadás módosítása</t>
  </si>
  <si>
    <t>5.1.1. melléklet</t>
  </si>
  <si>
    <t>Kötelező feladtok bevételeinek, kiadásainak módosítása</t>
  </si>
  <si>
    <t>5.1.2. melléklet</t>
  </si>
  <si>
    <t>Önként vállalt feladatok bevételeinek, kiadásainak módosítása</t>
  </si>
  <si>
    <t>5.1.3. melléklet</t>
  </si>
  <si>
    <t>Államigazgatási feladatok  bevételeinek, kiadásainak módosítása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</si>
  <si>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</si>
  <si>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</si>
  <si>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</si>
  <si>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</si>
  <si>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</si>
  <si>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</si>
  <si>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</si>
  <si>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</si>
  <si>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</si>
  <si>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</si>
  <si>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</si>
  <si>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6. melléklet</t>
  </si>
  <si>
    <t>ALAPADATOK</t>
  </si>
  <si>
    <t>Elek Város Önkormányzata</t>
  </si>
  <si>
    <t>Előterjesztéskor</t>
  </si>
  <si>
    <t>a</t>
  </si>
  <si>
    <t>/</t>
  </si>
  <si>
    <t>(</t>
  </si>
  <si>
    <t>)</t>
  </si>
  <si>
    <t>önkormányzati rendelethez</t>
  </si>
  <si>
    <t>Eleki Közös Önkormányzati Hivatal</t>
  </si>
  <si>
    <t>1. költségvetési szerv neve</t>
  </si>
  <si>
    <t>Elek Város Óvoda-Bölcsőde</t>
  </si>
  <si>
    <t>2. költségvetési szerv neve</t>
  </si>
  <si>
    <t>Reibel Mihály Városi Művelődési Központ és Könyvtár</t>
  </si>
  <si>
    <t>3. költségvetési szerv neve</t>
  </si>
  <si>
    <t>Naplemente Idősek Otthona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</si>
  <si>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</si>
  <si>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</si>
  <si>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</si>
  <si>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</si>
  <si>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</si>
  <si>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</si>
  <si>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</si>
  <si>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</si>
  <si>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</si>
  <si>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</si>
  <si>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</si>
  <si>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</si>
  <si>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</si>
  <si>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Költségvetési rendelet módosítás űrlapjainak összefüggései:</t>
  </si>
  <si>
    <t>2019.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</si>
  <si>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</si>
  <si>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</si>
  <si>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</si>
  <si>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</si>
  <si>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</si>
  <si>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</si>
  <si>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</si>
  <si>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</si>
  <si>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</si>
  <si>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</si>
  <si>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</si>
  <si>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</si>
  <si>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</si>
  <si>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</si>
  <si>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</si>
  <si>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</si>
  <si>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</si>
  <si>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</si>
  <si>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</si>
  <si>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</si>
  <si>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</si>
  <si>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</si>
  <si>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</si>
  <si>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</si>
  <si>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</si>
  <si>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</si>
  <si>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</si>
  <si>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</si>
  <si>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</si>
  <si>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</si>
  <si>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</si>
  <si>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</si>
  <si>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</si>
  <si>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</si>
  <si>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</si>
  <si>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</si>
  <si>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2019. ÉVI KÖLTSÉGVETÉSI RENDELET ÖSSZEVONT BEVÉTELEINEK KIADÁSAINAK MÓDOSÍTÁSA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</si>
  <si>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</si>
  <si>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</si>
  <si>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</si>
  <si>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</si>
  <si>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</si>
  <si>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</si>
  <si>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1. sz. módosítás </t>
  </si>
  <si>
    <t xml:space="preserve">2. sz. módosítás </t>
  </si>
  <si>
    <t xml:space="preserve">3. sz. módosítás </t>
  </si>
  <si>
    <t xml:space="preserve">4. sz. módosítás </t>
  </si>
  <si>
    <t xml:space="preserve">.5. sz. módosítás </t>
  </si>
  <si>
    <t xml:space="preserve">6. sz. módosítás </t>
  </si>
  <si>
    <t>Módosítások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</si>
  <si>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</si>
  <si>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</si>
  <si>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</si>
  <si>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</si>
  <si>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</si>
  <si>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</si>
  <si>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</si>
  <si>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</si>
  <si>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</si>
  <si>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</si>
  <si>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</si>
  <si>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</si>
  <si>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</si>
  <si>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</si>
  <si>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</si>
  <si>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</si>
  <si>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</si>
  <si>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</si>
  <si>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</si>
  <si>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</si>
  <si>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</si>
  <si>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</si>
  <si>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</si>
  <si>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</si>
  <si>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</si>
  <si>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</si>
  <si>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</si>
  <si>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</si>
  <si>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</si>
  <si>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</si>
  <si>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</si>
  <si>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</si>
  <si>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</si>
  <si>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</si>
  <si>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</si>
  <si>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</si>
  <si>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</si>
  <si>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</si>
  <si>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</si>
  <si>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</si>
  <si>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</si>
  <si>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</si>
  <si>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</si>
  <si>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</si>
  <si>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</si>
  <si>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</si>
  <si>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</si>
  <si>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</si>
  <si>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</si>
  <si>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</si>
  <si>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</si>
  <si>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</si>
  <si>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</si>
  <si>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</si>
  <si>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</si>
  <si>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</si>
  <si>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</si>
  <si>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</si>
  <si>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</si>
  <si>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</si>
  <si>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</si>
  <si>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</si>
  <si>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</si>
  <si>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</si>
  <si>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</si>
  <si>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</si>
  <si>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</si>
  <si>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</si>
  <si>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</si>
  <si>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</si>
  <si>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</si>
  <si>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</si>
  <si>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</si>
  <si>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</si>
  <si>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</si>
  <si>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</si>
  <si>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</si>
  <si>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</si>
  <si>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</si>
  <si>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</si>
  <si>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</si>
  <si>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</si>
  <si>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</si>
  <si>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</si>
  <si>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</si>
  <si>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</si>
  <si>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</si>
  <si>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</si>
  <si>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</si>
  <si>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</si>
  <si>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</si>
  <si>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</si>
  <si>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</si>
  <si>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</si>
  <si>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</si>
  <si>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</si>
  <si>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</si>
  <si>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</si>
  <si>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</si>
  <si>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</si>
  <si>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</si>
  <si>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</si>
  <si>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</si>
  <si>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</si>
  <si>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</si>
  <si>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</si>
  <si>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</si>
  <si>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</si>
  <si>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</si>
  <si>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</si>
  <si>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</si>
  <si>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</si>
  <si>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</si>
  <si>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</si>
  <si>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</si>
  <si>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</si>
  <si>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</si>
  <si>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</si>
  <si>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</si>
  <si>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</si>
  <si>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</si>
  <si>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</si>
  <si>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</si>
  <si>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</si>
  <si>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</si>
  <si>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</si>
  <si>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</si>
  <si>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</si>
  <si>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</si>
  <si>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</si>
  <si>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</si>
  <si>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</si>
  <si>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</si>
  <si>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</si>
  <si>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</si>
  <si>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</si>
  <si>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</si>
  <si>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</si>
  <si>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</si>
  <si>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</si>
  <si>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</si>
  <si>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</si>
  <si>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</si>
  <si>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</si>
  <si>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</si>
  <si>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</si>
  <si>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</si>
  <si>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</si>
  <si>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</si>
  <si>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</si>
  <si>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</si>
  <si>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</si>
  <si>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</si>
  <si>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</si>
  <si>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</si>
  <si>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</si>
  <si>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</si>
  <si>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</si>
  <si>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</si>
  <si>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</si>
  <si>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</si>
  <si>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</si>
  <si>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</si>
  <si>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</si>
  <si>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</si>
  <si>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</si>
  <si>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</si>
  <si>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</si>
  <si>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</si>
  <si>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</si>
  <si>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</si>
  <si>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</si>
  <si>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</si>
  <si>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</si>
  <si>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</si>
  <si>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</si>
  <si>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</si>
  <si>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</si>
  <si>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</si>
  <si>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</si>
  <si>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</si>
  <si>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</si>
  <si>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</si>
  <si>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</si>
  <si>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</si>
  <si>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</si>
  <si>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</si>
  <si>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</si>
  <si>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</si>
  <si>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</si>
  <si>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</si>
  <si>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</si>
  <si>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</si>
  <si>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</si>
  <si>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</si>
  <si>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</si>
  <si>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</si>
  <si>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</si>
  <si>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</si>
  <si>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</si>
  <si>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</si>
  <si>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</si>
  <si>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</si>
  <si>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</si>
  <si>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</si>
  <si>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</si>
  <si>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</si>
  <si>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</si>
  <si>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</si>
  <si>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</si>
  <si>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</si>
  <si>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</si>
  <si>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</si>
  <si>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</si>
  <si>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</si>
  <si>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</si>
  <si>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</si>
  <si>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</si>
  <si>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</si>
  <si>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</si>
  <si>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</si>
  <si>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</si>
  <si>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</si>
  <si>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</si>
  <si>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</si>
  <si>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</si>
  <si>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</si>
  <si>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</si>
  <si>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</si>
  <si>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</si>
  <si>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</si>
  <si>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</si>
  <si>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</si>
  <si>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</si>
  <si>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</si>
  <si>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</si>
  <si>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</si>
  <si>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</si>
  <si>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</si>
  <si>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</si>
  <si>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</si>
  <si>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</si>
  <si>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</si>
  <si>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</si>
  <si>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</si>
  <si>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</si>
  <si>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</si>
  <si>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</si>
  <si>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</si>
  <si>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</si>
  <si>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</si>
  <si>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</si>
  <si>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</si>
  <si>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</si>
  <si>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</si>
  <si>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</si>
  <si>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</si>
  <si>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</si>
  <si>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</si>
  <si>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</si>
  <si>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</si>
  <si>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</si>
  <si>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</si>
  <si>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</si>
  <si>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</si>
  <si>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</si>
  <si>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</si>
  <si>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</si>
  <si>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</si>
  <si>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</si>
  <si>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</si>
  <si>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</si>
  <si>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</si>
  <si>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</si>
  <si>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</si>
  <si>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I. Működési célú bevételek és kiadások mérlegének módosítása
(Önkormányzati szinten)</t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</si>
  <si>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</si>
  <si>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</si>
  <si>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</si>
  <si>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</si>
  <si>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</si>
  <si>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</si>
  <si>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</si>
  <si>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</si>
  <si>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</si>
  <si>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</si>
  <si>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</si>
  <si>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</si>
  <si>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</si>
  <si>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</si>
  <si>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</si>
  <si>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</si>
  <si>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</si>
  <si>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</si>
  <si>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</si>
  <si>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</si>
  <si>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</si>
  <si>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</si>
  <si>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</si>
  <si>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</si>
  <si>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</si>
  <si>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</si>
  <si>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</si>
  <si>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</si>
  <si>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</si>
  <si>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</si>
  <si>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</si>
  <si>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</si>
  <si>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</si>
  <si>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</si>
  <si>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</si>
  <si>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</si>
  <si>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</si>
  <si>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</si>
  <si>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</si>
  <si>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</si>
  <si>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Egyéb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</si>
  <si>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</si>
  <si>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</si>
  <si>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</si>
  <si>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</si>
  <si>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</si>
  <si>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</si>
  <si>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</si>
  <si>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</si>
  <si>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</si>
  <si>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</si>
  <si>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</si>
  <si>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</si>
  <si>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</si>
  <si>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</si>
  <si>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</si>
  <si>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mérlegének módosítása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</si>
  <si>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</si>
  <si>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</si>
  <si>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</si>
  <si>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</si>
  <si>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</si>
  <si>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</si>
  <si>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</si>
  <si>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</si>
  <si>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</si>
  <si>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</si>
  <si>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</si>
  <si>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</si>
  <si>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</si>
  <si>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</si>
  <si>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</si>
  <si>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</si>
  <si>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</si>
  <si>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</si>
  <si>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</si>
  <si>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</si>
  <si>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</si>
  <si>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</si>
  <si>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</si>
  <si>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</si>
  <si>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</si>
  <si>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</si>
  <si>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</si>
  <si>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</si>
  <si>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</si>
  <si>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</si>
  <si>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</si>
  <si>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</si>
  <si>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</si>
  <si>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</si>
  <si>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</si>
  <si>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  megnevezése</t>
  </si>
  <si>
    <t>Teljes költség</t>
  </si>
  <si>
    <t>Kivitelezés kezdési és befejezési éve</t>
  </si>
  <si>
    <t>Eddigi módosítások összege 2019-ben</t>
  </si>
  <si>
    <t>H=(F+G)</t>
  </si>
  <si>
    <t>I=(E+H)</t>
  </si>
  <si>
    <t>Kistraktor beszerzés</t>
  </si>
  <si>
    <t>2019</t>
  </si>
  <si>
    <t>Konyhafejlesztési pályázat</t>
  </si>
  <si>
    <t>Játszótér építése</t>
  </si>
  <si>
    <t>Eleki Közös Önkormányzati Hivatal beszerzései</t>
  </si>
  <si>
    <t>Elek Város Óvoda-Bölcsőde beszerzései</t>
  </si>
  <si>
    <t>ROHU pályázat eszközbeszerzés</t>
  </si>
  <si>
    <t>"Szelektálj okosan" pályázat eszközbeszerzés</t>
  </si>
  <si>
    <t>ÖSSZESEN:</t>
  </si>
  <si>
    <t>Felújítás  megnevezése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</si>
  <si>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</si>
  <si>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</si>
  <si>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</si>
  <si>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</si>
  <si>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</si>
  <si>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TOP Elek Város csapadékelvezető rendszer fejlesztés</t>
  </si>
  <si>
    <t>2018-2019</t>
  </si>
  <si>
    <t>TOP Naplemente Idősek Otthon ép. Energetikai megtak.célzó projekt</t>
  </si>
  <si>
    <t xml:space="preserve"> '01</t>
  </si>
  <si>
    <t>Feladat megnevezése</t>
  </si>
  <si>
    <t>01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</si>
  <si>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</si>
  <si>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</si>
  <si>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</si>
  <si>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</si>
  <si>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</si>
  <si>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</si>
  <si>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</si>
  <si>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</si>
  <si>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</si>
  <si>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</si>
  <si>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</si>
  <si>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</si>
  <si>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</si>
  <si>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</si>
  <si>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</si>
  <si>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</si>
  <si>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</si>
  <si>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</si>
  <si>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</si>
  <si>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</si>
  <si>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</si>
  <si>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</si>
  <si>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</si>
  <si>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02</t>
  </si>
  <si>
    <t>03</t>
  </si>
  <si>
    <t>04</t>
  </si>
  <si>
    <t>Költségvetési szerv megnevezése</t>
  </si>
  <si>
    <t xml:space="preserve">Összes bevétel, kiadás </t>
  </si>
  <si>
    <t>Kötelező feladatok bevételei, kiadásai</t>
  </si>
  <si>
    <t>Eeredeti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</si>
  <si>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</si>
  <si>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</si>
  <si>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</si>
  <si>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</si>
  <si>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</si>
  <si>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</si>
  <si>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</si>
  <si>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</si>
  <si>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</si>
  <si>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</si>
  <si>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</si>
  <si>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</si>
  <si>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</si>
  <si>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</si>
  <si>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</si>
  <si>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</si>
  <si>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</si>
  <si>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</si>
  <si>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</si>
  <si>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</si>
  <si>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</si>
  <si>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</si>
  <si>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</si>
  <si>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</si>
  <si>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</si>
  <si>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</si>
  <si>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</si>
  <si>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05</t>
  </si>
  <si>
    <t>Forintban</t>
  </si>
  <si>
    <t>2018. évi L.
törvény 2. sz. melléklete száma*</t>
  </si>
  <si>
    <t>Jogcím</t>
  </si>
  <si>
    <t>Módosított támogatás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</si>
  <si>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</si>
  <si>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</si>
  <si>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</si>
  <si>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</si>
  <si>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</si>
  <si>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</si>
  <si>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</si>
  <si>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</si>
  <si>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</si>
  <si>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</si>
  <si>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</si>
  <si>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</si>
  <si>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</si>
  <si>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</si>
  <si>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</si>
  <si>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</si>
  <si>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I.5.</t>
  </si>
  <si>
    <t>A költségvetési szerveknél foglalkoztatottak 2018. évi áthúzódó és 2019. évi kompenzációja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</si>
  <si>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</si>
  <si>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</si>
  <si>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</si>
  <si>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</si>
  <si>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</si>
  <si>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</si>
  <si>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</si>
  <si>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</si>
  <si>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III.1.</t>
  </si>
  <si>
    <t>Szociális ágazati összevont pótlék és egészségügyi kiegészítő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</si>
  <si>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</si>
  <si>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</si>
  <si>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</si>
  <si>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</si>
  <si>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</si>
  <si>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</si>
  <si>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</si>
  <si>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</si>
  <si>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</si>
  <si>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</si>
  <si>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</si>
  <si>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</si>
  <si>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</si>
  <si>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</si>
  <si>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</si>
  <si>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</si>
  <si>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</si>
  <si>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</si>
  <si>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</si>
  <si>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</si>
  <si>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IV.3.</t>
  </si>
  <si>
    <t>Kulturális illetménypótlék</t>
  </si>
  <si>
    <t>Összesen:</t>
  </si>
  <si>
    <t>* Magyarország 2019. évi központi költségvetéséról szóló törvény</t>
  </si>
  <si>
    <t>2.számú módosítás utáni előirányzat</t>
  </si>
  <si>
    <t>2.sz. módosítás</t>
  </si>
  <si>
    <t>Módosítások összesen 2019. 06.30.-ig</t>
  </si>
  <si>
    <t>Játszótér felújítása</t>
  </si>
  <si>
    <t>2. számú módosítás utáni előirányzat</t>
  </si>
  <si>
    <t>Felépítmény (doboz) közmunkaprogramhoz</t>
  </si>
  <si>
    <t>Monitor gyermekorvosi rendelőbe</t>
  </si>
  <si>
    <t>Kültéri postaláda</t>
  </si>
  <si>
    <t>GIRODirekt csatlakozási pont kiépítés</t>
  </si>
  <si>
    <t xml:space="preserve">Bölcsőde építés pályázat </t>
  </si>
  <si>
    <t>Naplemente Idősek Otthona beszerzései</t>
  </si>
  <si>
    <t>Reibel Mihály Városi Művelődési Központ és Könyvtár beszerzései</t>
  </si>
  <si>
    <t>Szent István u. 5/b lakás felújítás</t>
  </si>
  <si>
    <t>Magánszemélyek kommunális adója</t>
  </si>
  <si>
    <t>Halmozott módosítás 2019.06.30.-ig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</si>
</sst>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#,###"/>
    <numFmt numFmtId="168" formatCode="mmm\ d/"/>
  </numFmts>
  <fonts count="7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46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4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right" vertical="center" indent="1"/>
      <protection locked="0"/>
    </xf>
    <xf numFmtId="0" fontId="4" fillId="0" borderId="0" xfId="59" applyFill="1" applyProtection="1">
      <alignment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1" fillId="0" borderId="10" xfId="59" applyFont="1" applyFill="1" applyBorder="1" applyAlignment="1" applyProtection="1">
      <alignment horizontal="center" vertical="center" wrapText="1"/>
      <protection locked="0"/>
    </xf>
    <xf numFmtId="0" fontId="21" fillId="0" borderId="11" xfId="59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59" applyFont="1" applyFill="1" applyBorder="1" applyAlignment="1" applyProtection="1">
      <alignment horizontal="center" vertical="center" wrapText="1"/>
      <protection locked="0"/>
    </xf>
    <xf numFmtId="0" fontId="22" fillId="0" borderId="13" xfId="59" applyFont="1" applyFill="1" applyBorder="1" applyAlignment="1" applyProtection="1">
      <alignment horizontal="center" vertical="center" wrapText="1"/>
      <protection/>
    </xf>
    <xf numFmtId="0" fontId="22" fillId="0" borderId="14" xfId="59" applyFont="1" applyFill="1" applyBorder="1" applyAlignment="1" applyProtection="1">
      <alignment horizontal="center" vertical="center" wrapText="1"/>
      <protection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167" fontId="23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0" xfId="59" applyFont="1" applyFill="1" applyProtection="1">
      <alignment/>
      <protection/>
    </xf>
    <xf numFmtId="0" fontId="22" fillId="0" borderId="17" xfId="59" applyFont="1" applyFill="1" applyBorder="1" applyAlignment="1" applyProtection="1">
      <alignment horizontal="left" vertical="center" wrapText="1" indent="1"/>
      <protection/>
    </xf>
    <xf numFmtId="0" fontId="22" fillId="0" borderId="18" xfId="59" applyFont="1" applyFill="1" applyBorder="1" applyAlignment="1" applyProtection="1">
      <alignment horizontal="left" vertical="center" wrapText="1" indent="1"/>
      <protection/>
    </xf>
    <xf numFmtId="167" fontId="22" fillId="0" borderId="16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/>
    </xf>
    <xf numFmtId="49" fontId="2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2" xfId="0" applyFont="1" applyBorder="1" applyAlignment="1" applyProtection="1">
      <alignment horizontal="left" wrapText="1" indent="1"/>
      <protection/>
    </xf>
    <xf numFmtId="167" fontId="2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5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26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wrapText="1" indent="1"/>
      <protection/>
    </xf>
    <xf numFmtId="167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vertical="center" wrapText="1" indent="1"/>
      <protection/>
    </xf>
    <xf numFmtId="49" fontId="24" fillId="0" borderId="30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31" xfId="0" applyFont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167" fontId="24" fillId="35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Border="1" applyAlignment="1" applyProtection="1">
      <alignment horizontal="left" wrapText="1" indent="1"/>
      <protection/>
    </xf>
    <xf numFmtId="167" fontId="24" fillId="0" borderId="32" xfId="59" applyNumberFormat="1" applyFont="1" applyFill="1" applyBorder="1" applyAlignment="1" applyProtection="1">
      <alignment horizontal="right" vertical="center" wrapText="1"/>
      <protection locked="0"/>
    </xf>
    <xf numFmtId="167" fontId="24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167" fontId="2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37" xfId="59" applyFont="1" applyFill="1" applyBorder="1" applyAlignment="1" applyProtection="1">
      <alignment horizontal="left" vertical="center" wrapText="1" indent="1"/>
      <protection/>
    </xf>
    <xf numFmtId="0" fontId="22" fillId="0" borderId="38" xfId="59" applyFont="1" applyFill="1" applyBorder="1" applyAlignment="1" applyProtection="1">
      <alignment horizontal="left" vertical="center" wrapText="1" indent="1"/>
      <protection/>
    </xf>
    <xf numFmtId="167" fontId="22" fillId="0" borderId="3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0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38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17" xfId="59" applyFont="1" applyFill="1" applyBorder="1" applyAlignment="1" applyProtection="1">
      <alignment horizontal="left"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vertical="center" wrapText="1"/>
      <protection/>
    </xf>
    <xf numFmtId="0" fontId="25" fillId="0" borderId="22" xfId="0" applyFont="1" applyBorder="1" applyAlignment="1">
      <alignment horizontal="left" wrapText="1" indent="1"/>
    </xf>
    <xf numFmtId="0" fontId="25" fillId="0" borderId="27" xfId="0" applyFont="1" applyBorder="1" applyAlignment="1">
      <alignment horizontal="left" wrapText="1" indent="1"/>
    </xf>
    <xf numFmtId="0" fontId="25" fillId="0" borderId="11" xfId="0" applyFont="1" applyBorder="1" applyAlignment="1">
      <alignment horizontal="left" vertical="center" wrapText="1" indent="1"/>
    </xf>
    <xf numFmtId="0" fontId="26" fillId="0" borderId="37" xfId="0" applyFont="1" applyBorder="1" applyAlignment="1" applyProtection="1">
      <alignment vertical="center" wrapTex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167" fontId="2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wrapText="1"/>
      <protection/>
    </xf>
    <xf numFmtId="167" fontId="2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/>
    </xf>
    <xf numFmtId="167" fontId="11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9" fillId="0" borderId="44" xfId="0" applyFont="1" applyFill="1" applyBorder="1" applyAlignment="1" applyProtection="1">
      <alignment horizontal="right"/>
      <protection/>
    </xf>
    <xf numFmtId="0" fontId="4" fillId="0" borderId="0" xfId="59" applyFill="1" applyAlignment="1" applyProtection="1">
      <alignment/>
      <protection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 applyProtection="1">
      <alignment horizontal="center" vertical="center" wrapText="1"/>
      <protection/>
    </xf>
    <xf numFmtId="0" fontId="22" fillId="0" borderId="17" xfId="59" applyFont="1" applyFill="1" applyBorder="1" applyAlignment="1" applyProtection="1">
      <alignment horizontal="center" vertical="center" wrapText="1"/>
      <protection/>
    </xf>
    <xf numFmtId="0" fontId="22" fillId="0" borderId="18" xfId="59" applyFont="1" applyFill="1" applyBorder="1" applyAlignment="1" applyProtection="1">
      <alignment horizontal="center" vertical="center" wrapText="1"/>
      <protection/>
    </xf>
    <xf numFmtId="0" fontId="22" fillId="0" borderId="13" xfId="59" applyFont="1" applyFill="1" applyBorder="1" applyAlignment="1" applyProtection="1">
      <alignment horizontal="left" vertical="center" wrapText="1" indent="1"/>
      <protection/>
    </xf>
    <xf numFmtId="0" fontId="22" fillId="0" borderId="14" xfId="59" applyFont="1" applyFill="1" applyBorder="1" applyAlignment="1" applyProtection="1">
      <alignment vertical="center" wrapText="1"/>
      <protection/>
    </xf>
    <xf numFmtId="167" fontId="22" fillId="0" borderId="45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4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6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47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48" xfId="59" applyFont="1" applyFill="1" applyBorder="1" applyAlignment="1" applyProtection="1">
      <alignment horizontal="left" vertical="center" wrapText="1" indent="1"/>
      <protection/>
    </xf>
    <xf numFmtId="167" fontId="2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49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59" applyFont="1" applyFill="1" applyBorder="1" applyAlignment="1" applyProtection="1">
      <alignment horizontal="left" vertical="center" wrapText="1" indent="1"/>
      <protection/>
    </xf>
    <xf numFmtId="167" fontId="24" fillId="0" borderId="3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50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9" xfId="59" applyFont="1" applyFill="1" applyBorder="1" applyAlignment="1" applyProtection="1">
      <alignment horizontal="left" vertical="center" wrapText="1" indent="1"/>
      <protection/>
    </xf>
    <xf numFmtId="0" fontId="24" fillId="0" borderId="0" xfId="59" applyFont="1" applyFill="1" applyBorder="1" applyAlignment="1" applyProtection="1">
      <alignment horizontal="left" vertical="center" wrapText="1" indent="1"/>
      <protection/>
    </xf>
    <xf numFmtId="0" fontId="24" fillId="0" borderId="31" xfId="59" applyFont="1" applyFill="1" applyBorder="1" applyAlignment="1" applyProtection="1">
      <alignment horizontal="left" vertical="center" wrapText="1" indent="6"/>
      <protection/>
    </xf>
    <xf numFmtId="0" fontId="24" fillId="0" borderId="27" xfId="59" applyFont="1" applyFill="1" applyBorder="1" applyAlignment="1" applyProtection="1">
      <alignment horizontal="left" indent="6"/>
      <protection/>
    </xf>
    <xf numFmtId="0" fontId="24" fillId="0" borderId="27" xfId="59" applyFont="1" applyFill="1" applyBorder="1" applyAlignment="1" applyProtection="1">
      <alignment horizontal="left" vertical="center" wrapText="1" indent="6"/>
      <protection/>
    </xf>
    <xf numFmtId="49" fontId="24" fillId="0" borderId="51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11" xfId="59" applyFont="1" applyFill="1" applyBorder="1" applyAlignment="1" applyProtection="1">
      <alignment horizontal="left" vertical="center" wrapText="1" indent="7"/>
      <protection/>
    </xf>
    <xf numFmtId="0" fontId="22" fillId="0" borderId="38" xfId="59" applyFont="1" applyFill="1" applyBorder="1" applyAlignment="1" applyProtection="1">
      <alignment vertical="center" wrapText="1"/>
      <protection/>
    </xf>
    <xf numFmtId="0" fontId="24" fillId="0" borderId="31" xfId="59" applyFont="1" applyFill="1" applyBorder="1" applyAlignment="1" applyProtection="1">
      <alignment horizontal="left" vertical="center" wrapText="1" indent="1"/>
      <protection/>
    </xf>
    <xf numFmtId="167" fontId="24" fillId="35" borderId="2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35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59" applyFont="1" applyFill="1" applyBorder="1" applyAlignment="1" applyProtection="1">
      <alignment horizontal="left" vertical="center" wrapText="1" indent="6"/>
      <protection/>
    </xf>
    <xf numFmtId="167" fontId="24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59" applyFont="1" applyFill="1" applyBorder="1" applyAlignment="1" applyProtection="1">
      <alignment horizontal="left" vertical="center" wrapText="1" indent="1"/>
      <protection/>
    </xf>
    <xf numFmtId="167" fontId="24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9" applyFont="1" applyFill="1" applyBorder="1" applyAlignment="1" applyProtection="1">
      <alignment horizontal="left" vertical="center" wrapText="1" indent="1"/>
      <protection/>
    </xf>
    <xf numFmtId="167" fontId="26" fillId="0" borderId="16" xfId="0" applyNumberFormat="1" applyFont="1" applyBorder="1" applyAlignment="1" applyProtection="1">
      <alignment horizontal="right" vertical="center" wrapText="1" indent="1"/>
      <protection/>
    </xf>
    <xf numFmtId="167" fontId="26" fillId="0" borderId="19" xfId="0" applyNumberFormat="1" applyFont="1" applyBorder="1" applyAlignment="1" applyProtection="1">
      <alignment horizontal="right" vertical="center" wrapText="1" indent="1"/>
      <protection/>
    </xf>
    <xf numFmtId="167" fontId="26" fillId="0" borderId="18" xfId="0" applyNumberFormat="1" applyFont="1" applyBorder="1" applyAlignment="1" applyProtection="1">
      <alignment horizontal="right" vertical="center" wrapText="1" indent="1"/>
      <protection/>
    </xf>
    <xf numFmtId="167" fontId="26" fillId="0" borderId="20" xfId="0" applyNumberFormat="1" applyFont="1" applyBorder="1" applyAlignment="1" applyProtection="1">
      <alignment horizontal="right" vertical="center" wrapText="1" indent="1"/>
      <protection/>
    </xf>
    <xf numFmtId="167" fontId="26" fillId="0" borderId="16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18" xfId="0" applyNumberFormat="1" applyFont="1" applyBorder="1" applyAlignment="1" applyProtection="1">
      <alignment horizontal="right" vertical="center" wrapText="1" indent="1"/>
      <protection locked="0"/>
    </xf>
    <xf numFmtId="167" fontId="24" fillId="0" borderId="20" xfId="59" applyNumberFormat="1" applyFont="1" applyFill="1" applyBorder="1" applyAlignment="1" applyProtection="1">
      <alignment horizontal="right" vertical="center" wrapText="1" indent="1"/>
      <protection/>
    </xf>
    <xf numFmtId="167" fontId="26" fillId="0" borderId="52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34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34" xfId="0" applyNumberFormat="1" applyFont="1" applyBorder="1" applyAlignment="1" applyProtection="1">
      <alignment horizontal="right" vertical="center" wrapText="1" indent="1"/>
      <protection/>
    </xf>
    <xf numFmtId="167" fontId="27" fillId="0" borderId="19" xfId="0" applyNumberFormat="1" applyFont="1" applyBorder="1" applyAlignment="1" applyProtection="1">
      <alignment horizontal="right" vertical="center" wrapText="1" indent="1"/>
      <protection/>
    </xf>
    <xf numFmtId="167" fontId="27" fillId="0" borderId="18" xfId="0" applyNumberFormat="1" applyFont="1" applyBorder="1" applyAlignment="1" applyProtection="1">
      <alignment horizontal="right" vertical="center" wrapText="1" indent="1"/>
      <protection/>
    </xf>
    <xf numFmtId="167" fontId="27" fillId="0" borderId="20" xfId="0" applyNumberFormat="1" applyFont="1" applyBorder="1" applyAlignment="1" applyProtection="1">
      <alignment horizontal="right" vertical="center" wrapText="1" indent="1"/>
      <protection/>
    </xf>
    <xf numFmtId="0" fontId="28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/>
    </xf>
    <xf numFmtId="0" fontId="26" fillId="0" borderId="37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167" fontId="29" fillId="0" borderId="0" xfId="59" applyNumberFormat="1" applyFont="1" applyFill="1" applyAlignment="1" applyProtection="1">
      <alignment horizontal="right" vertical="center" indent="1"/>
      <protection/>
    </xf>
    <xf numFmtId="0" fontId="29" fillId="0" borderId="0" xfId="59" applyFont="1" applyFill="1" applyProtection="1">
      <alignment/>
      <protection/>
    </xf>
    <xf numFmtId="167" fontId="29" fillId="0" borderId="0" xfId="59" applyNumberFormat="1" applyFont="1" applyFill="1" applyProtection="1">
      <alignment/>
      <protection/>
    </xf>
    <xf numFmtId="0" fontId="19" fillId="0" borderId="44" xfId="0" applyFont="1" applyFill="1" applyBorder="1" applyAlignment="1" applyProtection="1">
      <alignment horizontal="right" vertical="center"/>
      <protection/>
    </xf>
    <xf numFmtId="0" fontId="22" fillId="0" borderId="18" xfId="59" applyFont="1" applyFill="1" applyBorder="1" applyAlignment="1" applyProtection="1">
      <alignment vertical="center" wrapText="1"/>
      <protection/>
    </xf>
    <xf numFmtId="167" fontId="22" fillId="0" borderId="53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25" fillId="0" borderId="34" xfId="0" applyFont="1" applyBorder="1" applyAlignment="1">
      <alignment horizontal="left" vertical="center" wrapText="1" indent="1"/>
    </xf>
    <xf numFmtId="167" fontId="2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29" fillId="36" borderId="0" xfId="59" applyNumberFormat="1" applyFont="1" applyFill="1" applyProtection="1">
      <alignment/>
      <protection/>
    </xf>
    <xf numFmtId="0" fontId="26" fillId="0" borderId="13" xfId="0" applyFont="1" applyBorder="1" applyAlignment="1" applyProtection="1">
      <alignment vertical="center" wrapText="1"/>
      <protection/>
    </xf>
    <xf numFmtId="0" fontId="26" fillId="0" borderId="34" xfId="0" applyFont="1" applyBorder="1" applyAlignment="1" applyProtection="1">
      <alignment horizontal="left" wrapText="1" indent="1"/>
      <protection/>
    </xf>
    <xf numFmtId="167" fontId="24" fillId="0" borderId="48" xfId="0" applyNumberFormat="1" applyFont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19" fillId="0" borderId="0" xfId="0" applyNumberFormat="1" applyFont="1" applyFill="1" applyAlignment="1" applyProtection="1">
      <alignment horizontal="right" vertical="center"/>
      <protection/>
    </xf>
    <xf numFmtId="167" fontId="20" fillId="0" borderId="17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7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Fill="1" applyBorder="1" applyAlignment="1" applyProtection="1">
      <alignment horizontal="center" vertical="center" wrapText="1"/>
      <protection/>
    </xf>
    <xf numFmtId="167" fontId="21" fillId="0" borderId="20" xfId="0" applyNumberFormat="1" applyFont="1" applyFill="1" applyBorder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center" vertical="center" wrapText="1"/>
      <protection/>
    </xf>
    <xf numFmtId="167" fontId="22" fillId="0" borderId="54" xfId="0" applyNumberFormat="1" applyFont="1" applyFill="1" applyBorder="1" applyAlignment="1" applyProtection="1">
      <alignment horizontal="center" vertical="center" wrapText="1"/>
      <protection/>
    </xf>
    <xf numFmtId="167" fontId="22" fillId="0" borderId="17" xfId="0" applyNumberFormat="1" applyFont="1" applyFill="1" applyBorder="1" applyAlignment="1" applyProtection="1">
      <alignment horizontal="center" vertical="center" wrapText="1"/>
      <protection/>
    </xf>
    <xf numFmtId="167" fontId="22" fillId="0" borderId="18" xfId="0" applyNumberFormat="1" applyFont="1" applyFill="1" applyBorder="1" applyAlignment="1" applyProtection="1">
      <alignment horizontal="center" vertical="center" wrapText="1"/>
      <protection/>
    </xf>
    <xf numFmtId="167" fontId="22" fillId="0" borderId="19" xfId="0" applyNumberFormat="1" applyFont="1" applyFill="1" applyBorder="1" applyAlignment="1" applyProtection="1">
      <alignment horizontal="center" vertical="center" wrapText="1"/>
      <protection/>
    </xf>
    <xf numFmtId="167" fontId="22" fillId="0" borderId="16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54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4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2"/>
      <protection/>
    </xf>
    <xf numFmtId="167" fontId="31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7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30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1" fillId="0" borderId="19" xfId="0" applyNumberFormat="1" applyFont="1" applyFill="1" applyBorder="1" applyAlignment="1" applyProtection="1">
      <alignment horizontal="center" vertical="center" wrapText="1"/>
      <protection/>
    </xf>
    <xf numFmtId="167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6"/>
      <protection locked="0"/>
    </xf>
    <xf numFmtId="167" fontId="24" fillId="0" borderId="26" xfId="0" applyNumberFormat="1" applyFont="1" applyFill="1" applyBorder="1" applyAlignment="1" applyProtection="1">
      <alignment horizontal="left" vertical="center" wrapText="1" indent="3"/>
      <protection locked="0"/>
    </xf>
    <xf numFmtId="167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1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left" vertical="center" wrapText="1" indent="2"/>
      <protection/>
    </xf>
    <xf numFmtId="167" fontId="31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7" fontId="24" fillId="0" borderId="30" xfId="0" applyNumberFormat="1" applyFont="1" applyFill="1" applyBorder="1" applyAlignment="1" applyProtection="1">
      <alignment horizontal="left" vertical="center" wrapText="1" indent="2"/>
      <protection/>
    </xf>
    <xf numFmtId="0" fontId="28" fillId="0" borderId="0" xfId="0" applyFont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right" indent="1"/>
      <protection/>
    </xf>
    <xf numFmtId="0" fontId="15" fillId="0" borderId="0" xfId="0" applyFont="1" applyFill="1" applyAlignment="1" applyProtection="1">
      <alignment horizontal="right" indent="1"/>
      <protection/>
    </xf>
    <xf numFmtId="3" fontId="20" fillId="0" borderId="0" xfId="0" applyNumberFormat="1" applyFont="1" applyFill="1" applyAlignment="1" applyProtection="1">
      <alignment horizontal="right" indent="1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19" fillId="0" borderId="0" xfId="0" applyNumberFormat="1" applyFont="1" applyFill="1" applyAlignment="1" applyProtection="1">
      <alignment horizontal="right" wrapText="1"/>
      <protection/>
    </xf>
    <xf numFmtId="167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0" xfId="0" applyNumberFormat="1" applyFont="1" applyFill="1" applyAlignment="1">
      <alignment horizontal="center" vertical="center" wrapText="1"/>
    </xf>
    <xf numFmtId="167" fontId="22" fillId="0" borderId="37" xfId="0" applyNumberFormat="1" applyFont="1" applyFill="1" applyBorder="1" applyAlignment="1" applyProtection="1">
      <alignment horizontal="center" vertical="center" wrapText="1"/>
      <protection/>
    </xf>
    <xf numFmtId="167" fontId="22" fillId="0" borderId="38" xfId="0" applyNumberFormat="1" applyFont="1" applyFill="1" applyBorder="1" applyAlignment="1" applyProtection="1">
      <alignment horizontal="center" vertical="center" wrapText="1"/>
      <protection/>
    </xf>
    <xf numFmtId="167" fontId="23" fillId="0" borderId="38" xfId="0" applyNumberFormat="1" applyFont="1" applyFill="1" applyBorder="1" applyAlignment="1" applyProtection="1">
      <alignment horizontal="center" vertical="center" wrapText="1"/>
      <protection/>
    </xf>
    <xf numFmtId="167" fontId="23" fillId="0" borderId="39" xfId="0" applyNumberFormat="1" applyFont="1" applyFill="1" applyBorder="1" applyAlignment="1" applyProtection="1">
      <alignment horizontal="center" vertical="center" wrapText="1"/>
      <protection/>
    </xf>
    <xf numFmtId="167" fontId="24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28" xfId="0" applyNumberFormat="1" applyFont="1" applyFill="1" applyBorder="1" applyAlignment="1" applyProtection="1">
      <alignment vertical="center" wrapText="1"/>
      <protection/>
    </xf>
    <xf numFmtId="167" fontId="24" fillId="0" borderId="51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31" xfId="0" applyNumberFormat="1" applyFont="1" applyFill="1" applyBorder="1" applyAlignment="1" applyProtection="1">
      <alignment vertical="center" wrapText="1"/>
      <protection locked="0"/>
    </xf>
    <xf numFmtId="49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32" xfId="0" applyNumberFormat="1" applyFont="1" applyFill="1" applyBorder="1" applyAlignment="1" applyProtection="1">
      <alignment vertical="center" wrapText="1"/>
      <protection/>
    </xf>
    <xf numFmtId="167" fontId="20" fillId="0" borderId="17" xfId="0" applyNumberFormat="1" applyFont="1" applyFill="1" applyBorder="1" applyAlignment="1" applyProtection="1">
      <alignment horizontal="left" vertical="center" wrapText="1"/>
      <protection/>
    </xf>
    <xf numFmtId="167" fontId="22" fillId="0" borderId="18" xfId="0" applyNumberFormat="1" applyFont="1" applyFill="1" applyBorder="1" applyAlignment="1" applyProtection="1">
      <alignment vertical="center" wrapText="1"/>
      <protection/>
    </xf>
    <xf numFmtId="167" fontId="22" fillId="37" borderId="18" xfId="0" applyNumberFormat="1" applyFont="1" applyFill="1" applyBorder="1" applyAlignment="1" applyProtection="1">
      <alignment vertical="center" wrapText="1"/>
      <protection/>
    </xf>
    <xf numFmtId="167" fontId="22" fillId="0" borderId="16" xfId="0" applyNumberFormat="1" applyFont="1" applyFill="1" applyBorder="1" applyAlignment="1" applyProtection="1">
      <alignment vertical="center" wrapText="1"/>
      <protection/>
    </xf>
    <xf numFmtId="167" fontId="30" fillId="0" borderId="0" xfId="0" applyNumberFormat="1" applyFont="1" applyFill="1" applyAlignment="1">
      <alignment vertical="center" wrapText="1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vertical="center" wrapText="1"/>
      <protection locked="0"/>
    </xf>
    <xf numFmtId="167" fontId="19" fillId="0" borderId="0" xfId="0" applyNumberFormat="1" applyFont="1" applyFill="1" applyAlignment="1" applyProtection="1">
      <alignment horizontal="right" wrapText="1"/>
      <protection locked="0"/>
    </xf>
    <xf numFmtId="167" fontId="20" fillId="0" borderId="18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Border="1" applyAlignment="1" applyProtection="1">
      <alignment horizontal="center" vertical="center" wrapText="1"/>
      <protection/>
    </xf>
    <xf numFmtId="167" fontId="21" fillId="0" borderId="19" xfId="0" applyNumberFormat="1" applyFont="1" applyBorder="1" applyAlignment="1" applyProtection="1">
      <alignment horizontal="center" vertical="center" wrapText="1"/>
      <protection/>
    </xf>
    <xf numFmtId="167" fontId="21" fillId="0" borderId="20" xfId="0" applyNumberFormat="1" applyFont="1" applyBorder="1" applyAlignment="1" applyProtection="1">
      <alignment horizontal="center" vertical="center" wrapText="1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27" xfId="0" applyNumberFormat="1" applyFont="1" applyFill="1" applyBorder="1" applyAlignment="1" applyProtection="1">
      <alignment vertical="center" wrapText="1"/>
      <protection locked="0"/>
    </xf>
    <xf numFmtId="167" fontId="24" fillId="0" borderId="27" xfId="0" applyNumberFormat="1" applyFont="1" applyFill="1" applyBorder="1" applyAlignment="1" applyProtection="1">
      <alignment vertical="center" wrapText="1"/>
      <protection/>
    </xf>
    <xf numFmtId="167" fontId="0" fillId="0" borderId="51" xfId="0" applyNumberFormat="1" applyFont="1" applyFill="1" applyBorder="1" applyAlignment="1" applyProtection="1">
      <alignment horizontal="left" vertical="center" wrapText="1"/>
      <protection locked="0"/>
    </xf>
    <xf numFmtId="167" fontId="15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0" fillId="35" borderId="0" xfId="0" applyNumberForma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7" fontId="4" fillId="0" borderId="0" xfId="0" applyNumberFormat="1" applyFont="1" applyFill="1" applyAlignment="1" applyProtection="1">
      <alignment horizontal="left" vertical="center" wrapText="1" readingOrder="2"/>
      <protection locked="0"/>
    </xf>
    <xf numFmtId="167" fontId="4" fillId="0" borderId="0" xfId="0" applyNumberFormat="1" applyFont="1" applyFill="1" applyAlignment="1">
      <alignment vertical="center" wrapText="1" readingOrder="2"/>
    </xf>
    <xf numFmtId="0" fontId="20" fillId="0" borderId="54" xfId="0" applyFont="1" applyFill="1" applyBorder="1" applyAlignment="1" applyProtection="1">
      <alignment horizontal="center" vertical="center" wrapText="1" readingOrder="2"/>
      <protection locked="0"/>
    </xf>
    <xf numFmtId="0" fontId="20" fillId="0" borderId="54" xfId="0" applyFont="1" applyFill="1" applyBorder="1" applyAlignment="1" applyProtection="1">
      <alignment horizontal="right" vertical="center" readingOrder="2"/>
      <protection locked="0"/>
    </xf>
    <xf numFmtId="0" fontId="11" fillId="0" borderId="0" xfId="0" applyFont="1" applyFill="1" applyAlignment="1">
      <alignment vertical="center" readingOrder="2"/>
    </xf>
    <xf numFmtId="49" fontId="20" fillId="0" borderId="54" xfId="0" applyNumberFormat="1" applyFont="1" applyFill="1" applyBorder="1" applyAlignment="1" applyProtection="1">
      <alignment horizontal="right" vertical="center" readingOrder="2"/>
      <protection locked="0"/>
    </xf>
    <xf numFmtId="0" fontId="20" fillId="0" borderId="0" xfId="0" applyFont="1" applyFill="1" applyAlignment="1" applyProtection="1">
      <alignment vertical="center" readingOrder="2"/>
      <protection locked="0"/>
    </xf>
    <xf numFmtId="0" fontId="19" fillId="0" borderId="0" xfId="0" applyFont="1" applyFill="1" applyAlignment="1" applyProtection="1">
      <alignment horizontal="right" readingOrder="2"/>
      <protection locked="0"/>
    </xf>
    <xf numFmtId="0" fontId="30" fillId="0" borderId="0" xfId="0" applyFont="1" applyFill="1" applyAlignment="1" applyProtection="1">
      <alignment vertical="center" readingOrder="2"/>
      <protection locked="0"/>
    </xf>
    <xf numFmtId="0" fontId="19" fillId="0" borderId="63" xfId="0" applyFont="1" applyFill="1" applyBorder="1" applyAlignment="1" applyProtection="1">
      <alignment horizontal="right"/>
      <protection locked="0"/>
    </xf>
    <xf numFmtId="0" fontId="30" fillId="0" borderId="0" xfId="0" applyFont="1" applyFill="1" applyAlignment="1">
      <alignment vertical="center" readingOrder="2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4" xfId="59" applyFont="1" applyFill="1" applyBorder="1" applyAlignment="1" applyProtection="1">
      <alignment horizontal="center" vertical="center" wrapText="1"/>
      <protection locked="0"/>
    </xf>
    <xf numFmtId="0" fontId="23" fillId="0" borderId="15" xfId="59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49" fontId="24" fillId="0" borderId="21" xfId="59" applyNumberFormat="1" applyFont="1" applyFill="1" applyBorder="1" applyAlignment="1" applyProtection="1">
      <alignment horizontal="center" vertical="center" wrapText="1"/>
      <protection/>
    </xf>
    <xf numFmtId="167" fontId="24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>
      <alignment vertical="center" wrapText="1"/>
    </xf>
    <xf numFmtId="49" fontId="24" fillId="0" borderId="26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vertical="center" wrapText="1"/>
    </xf>
    <xf numFmtId="49" fontId="24" fillId="0" borderId="30" xfId="59" applyNumberFormat="1" applyFont="1" applyFill="1" applyBorder="1" applyAlignment="1" applyProtection="1">
      <alignment horizontal="center" vertical="center" wrapText="1"/>
      <protection/>
    </xf>
    <xf numFmtId="167" fontId="24" fillId="0" borderId="2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24" fillId="35" borderId="32" xfId="59" applyNumberFormat="1" applyFont="1" applyFill="1" applyBorder="1" applyAlignment="1" applyProtection="1">
      <alignment horizontal="right" vertical="center" wrapText="1"/>
      <protection locked="0"/>
    </xf>
    <xf numFmtId="49" fontId="24" fillId="0" borderId="35" xfId="59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wrapText="1" indent="1"/>
      <protection/>
    </xf>
    <xf numFmtId="167" fontId="24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0" fontId="25" fillId="0" borderId="31" xfId="0" applyFont="1" applyBorder="1" applyAlignment="1">
      <alignment horizontal="left" vertical="center" wrapText="1" indent="1"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26" xfId="0" applyFont="1" applyBorder="1" applyAlignment="1" applyProtection="1">
      <alignment horizontal="center" wrapText="1"/>
      <protection/>
    </xf>
    <xf numFmtId="0" fontId="25" fillId="0" borderId="30" xfId="0" applyFont="1" applyBorder="1" applyAlignment="1" applyProtection="1">
      <alignment horizontal="center" wrapText="1"/>
      <protection/>
    </xf>
    <xf numFmtId="0" fontId="26" fillId="0" borderId="37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67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65" xfId="59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4" fillId="0" borderId="47" xfId="59" applyNumberFormat="1" applyFont="1" applyFill="1" applyBorder="1" applyAlignment="1" applyProtection="1">
      <alignment horizontal="center" vertical="center" wrapText="1"/>
      <protection/>
    </xf>
    <xf numFmtId="167" fontId="24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3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51" xfId="59" applyNumberFormat="1" applyFont="1" applyFill="1" applyBorder="1" applyAlignment="1" applyProtection="1">
      <alignment horizontal="center" vertical="center" wrapText="1"/>
      <protection/>
    </xf>
    <xf numFmtId="0" fontId="24" fillId="0" borderId="11" xfId="59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22" fillId="0" borderId="17" xfId="59" applyNumberFormat="1" applyFont="1" applyFill="1" applyBorder="1" applyAlignment="1" applyProtection="1">
      <alignment horizontal="center" vertical="center" wrapText="1"/>
      <protection/>
    </xf>
    <xf numFmtId="167" fontId="27" fillId="0" borderId="16" xfId="0" applyNumberFormat="1" applyFont="1" applyBorder="1" applyAlignment="1" applyProtection="1">
      <alignment horizontal="right" vertical="center" wrapText="1" inden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167" fontId="35" fillId="0" borderId="0" xfId="0" applyNumberFormat="1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35" fillId="0" borderId="63" xfId="0" applyFont="1" applyFill="1" applyBorder="1" applyAlignment="1" applyProtection="1">
      <alignment horizontal="right" vertical="center" wrapText="1" indent="1"/>
      <protection/>
    </xf>
    <xf numFmtId="167" fontId="35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7" xfId="0" applyFont="1" applyFill="1" applyBorder="1" applyAlignment="1" applyProtection="1">
      <alignment horizontal="left" vertical="center"/>
      <protection/>
    </xf>
    <xf numFmtId="0" fontId="30" fillId="0" borderId="19" xfId="0" applyFont="1" applyFill="1" applyBorder="1" applyAlignment="1" applyProtection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26" fillId="0" borderId="53" xfId="0" applyNumberFormat="1" applyFont="1" applyBorder="1" applyAlignment="1" applyProtection="1">
      <alignment horizontal="right" vertical="center" wrapText="1" indent="1"/>
      <protection/>
    </xf>
    <xf numFmtId="3" fontId="30" fillId="3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35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167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7" fontId="4" fillId="0" borderId="0" xfId="0" applyNumberFormat="1" applyFont="1" applyFill="1" applyAlignment="1" applyProtection="1">
      <alignment horizontal="left" vertical="center" wrapText="1"/>
      <protection locked="0"/>
    </xf>
    <xf numFmtId="167" fontId="15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167" fontId="4" fillId="0" borderId="0" xfId="0" applyNumberFormat="1" applyFont="1" applyFill="1" applyAlignment="1" applyProtection="1">
      <alignment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49" fontId="20" fillId="0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20" fillId="0" borderId="68" xfId="0" applyFont="1" applyFill="1" applyBorder="1" applyAlignment="1" applyProtection="1">
      <alignment horizontal="center" vertical="center" wrapText="1"/>
      <protection locked="0"/>
    </xf>
    <xf numFmtId="49" fontId="20" fillId="0" borderId="39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23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49" fontId="24" fillId="0" borderId="47" xfId="0" applyNumberFormat="1" applyFont="1" applyFill="1" applyBorder="1" applyAlignment="1" applyProtection="1">
      <alignment horizontal="center" vertical="center" wrapText="1"/>
      <protection/>
    </xf>
    <xf numFmtId="167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167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49" fontId="24" fillId="0" borderId="30" xfId="0" applyNumberFormat="1" applyFont="1" applyFill="1" applyBorder="1" applyAlignment="1" applyProtection="1">
      <alignment horizontal="center" vertical="center" wrapText="1"/>
      <protection/>
    </xf>
    <xf numFmtId="3" fontId="2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1" xfId="0" applyNumberFormat="1" applyFont="1" applyFill="1" applyBorder="1" applyAlignment="1" applyProtection="1">
      <alignment horizontal="center" vertical="center" wrapText="1"/>
      <protection/>
    </xf>
    <xf numFmtId="3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4" fillId="0" borderId="38" xfId="59" applyFont="1" applyFill="1" applyBorder="1" applyAlignment="1" applyProtection="1">
      <alignment horizontal="left" vertical="center" wrapText="1" indent="1"/>
      <protection/>
    </xf>
    <xf numFmtId="3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9" xfId="0" applyFont="1" applyBorder="1" applyAlignment="1" applyProtection="1">
      <alignment horizontal="left" wrapText="1" indent="1"/>
      <protection/>
    </xf>
    <xf numFmtId="0" fontId="34" fillId="0" borderId="0" xfId="0" applyFont="1" applyFill="1" applyAlignment="1" applyProtection="1">
      <alignment vertical="center" wrapText="1"/>
      <protection/>
    </xf>
    <xf numFmtId="3" fontId="24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9" xfId="59" applyFont="1" applyFill="1" applyBorder="1" applyAlignment="1" applyProtection="1">
      <alignment horizontal="right" vertical="center" wrapText="1" indent="1"/>
      <protection locked="0"/>
    </xf>
    <xf numFmtId="167" fontId="24" fillId="0" borderId="69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8" xfId="59" applyFont="1" applyFill="1" applyBorder="1" applyAlignment="1" applyProtection="1">
      <alignment horizontal="right" vertical="center" wrapText="1" indent="1"/>
      <protection locked="0"/>
    </xf>
    <xf numFmtId="167" fontId="24" fillId="0" borderId="5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3" xfId="59" applyFont="1" applyFill="1" applyBorder="1" applyAlignment="1" applyProtection="1">
      <alignment horizontal="right" vertical="center" wrapText="1" indent="1"/>
      <protection locked="0"/>
    </xf>
    <xf numFmtId="0" fontId="20" fillId="0" borderId="18" xfId="0" applyFont="1" applyFill="1" applyBorder="1" applyAlignment="1" applyProtection="1">
      <alignment horizontal="left" vertical="center" wrapText="1" indent="1"/>
      <protection/>
    </xf>
    <xf numFmtId="167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right" vertical="center" wrapText="1"/>
      <protection/>
    </xf>
    <xf numFmtId="0" fontId="30" fillId="0" borderId="18" xfId="0" applyFont="1" applyFill="1" applyBorder="1" applyAlignment="1" applyProtection="1">
      <alignment horizontal="right" vertical="center" wrapText="1"/>
      <protection locked="0"/>
    </xf>
    <xf numFmtId="167" fontId="30" fillId="0" borderId="18" xfId="0" applyNumberFormat="1" applyFont="1" applyFill="1" applyBorder="1" applyAlignment="1" applyProtection="1">
      <alignment horizontal="right" vertical="center" wrapText="1"/>
      <protection/>
    </xf>
    <xf numFmtId="167" fontId="30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22" fillId="0" borderId="53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167" fontId="0" fillId="0" borderId="0" xfId="0" applyNumberForma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30" fillId="0" borderId="5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54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0" fillId="35" borderId="21" xfId="0" applyFont="1" applyFill="1" applyBorder="1" applyAlignment="1">
      <alignment/>
    </xf>
    <xf numFmtId="0" fontId="25" fillId="35" borderId="22" xfId="0" applyFont="1" applyFill="1" applyBorder="1" applyAlignment="1" applyProtection="1">
      <alignment horizontal="left" vertical="center" wrapText="1"/>
      <protection locked="0"/>
    </xf>
    <xf numFmtId="167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26" xfId="0" applyFont="1" applyFill="1" applyBorder="1" applyAlignment="1">
      <alignment/>
    </xf>
    <xf numFmtId="0" fontId="25" fillId="35" borderId="27" xfId="0" applyFont="1" applyFill="1" applyBorder="1" applyAlignment="1" applyProtection="1">
      <alignment horizontal="left" vertical="center" wrapText="1"/>
      <protection locked="0"/>
    </xf>
    <xf numFmtId="167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4" fillId="35" borderId="27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7" fontId="2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left" vertical="center"/>
    </xf>
    <xf numFmtId="0" fontId="0" fillId="35" borderId="35" xfId="0" applyFont="1" applyFill="1" applyBorder="1" applyAlignment="1">
      <alignment/>
    </xf>
    <xf numFmtId="0" fontId="25" fillId="35" borderId="11" xfId="0" applyFont="1" applyFill="1" applyBorder="1" applyAlignment="1" applyProtection="1">
      <alignment horizontal="left" vertical="center" wrapText="1"/>
      <protection locked="0"/>
    </xf>
    <xf numFmtId="167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0" xfId="0" applyFill="1" applyBorder="1" applyAlignment="1" applyProtection="1">
      <alignment vertical="center"/>
      <protection/>
    </xf>
    <xf numFmtId="0" fontId="27" fillId="0" borderId="37" xfId="0" applyFont="1" applyFill="1" applyBorder="1" applyAlignment="1" applyProtection="1">
      <alignment vertical="center" wrapText="1"/>
      <protection/>
    </xf>
    <xf numFmtId="167" fontId="27" fillId="0" borderId="44" xfId="0" applyNumberFormat="1" applyFont="1" applyFill="1" applyBorder="1" applyAlignment="1" applyProtection="1">
      <alignment vertical="center" wrapText="1"/>
      <protection/>
    </xf>
    <xf numFmtId="167" fontId="26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3" fontId="2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7" fontId="29" fillId="38" borderId="0" xfId="59" applyNumberFormat="1" applyFont="1" applyFill="1" applyProtection="1">
      <alignment/>
      <protection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/>
      <protection locked="0"/>
    </xf>
    <xf numFmtId="0" fontId="12" fillId="0" borderId="0" xfId="59" applyFont="1" applyFill="1" applyBorder="1" applyAlignment="1" applyProtection="1">
      <alignment horizontal="right" vertical="center"/>
      <protection locked="0"/>
    </xf>
    <xf numFmtId="0" fontId="11" fillId="0" borderId="0" xfId="59" applyFont="1" applyFill="1" applyBorder="1" applyAlignment="1" applyProtection="1">
      <alignment horizontal="center"/>
      <protection locked="0"/>
    </xf>
    <xf numFmtId="167" fontId="11" fillId="0" borderId="0" xfId="59" applyNumberFormat="1" applyFont="1" applyFill="1" applyBorder="1" applyAlignment="1" applyProtection="1">
      <alignment horizontal="center" vertical="center"/>
      <protection locked="0"/>
    </xf>
    <xf numFmtId="167" fontId="18" fillId="0" borderId="44" xfId="59" applyNumberFormat="1" applyFont="1" applyFill="1" applyBorder="1" applyAlignment="1" applyProtection="1">
      <alignment horizontal="left" vertical="center"/>
      <protection locked="0"/>
    </xf>
    <xf numFmtId="0" fontId="20" fillId="0" borderId="17" xfId="59" applyFont="1" applyFill="1" applyBorder="1" applyAlignment="1" applyProtection="1">
      <alignment horizontal="center" vertical="center" wrapText="1"/>
      <protection/>
    </xf>
    <xf numFmtId="0" fontId="20" fillId="0" borderId="18" xfId="59" applyFont="1" applyFill="1" applyBorder="1" applyAlignment="1" applyProtection="1">
      <alignment horizontal="center" vertical="center" wrapText="1"/>
      <protection/>
    </xf>
    <xf numFmtId="0" fontId="20" fillId="0" borderId="49" xfId="59" applyFont="1" applyFill="1" applyBorder="1" applyAlignment="1" applyProtection="1">
      <alignment horizontal="center" vertical="center" wrapText="1"/>
      <protection/>
    </xf>
    <xf numFmtId="167" fontId="18" fillId="0" borderId="44" xfId="59" applyNumberFormat="1" applyFont="1" applyFill="1" applyBorder="1" applyAlignment="1" applyProtection="1">
      <alignment horizontal="left" vertical="center"/>
      <protection/>
    </xf>
    <xf numFmtId="167" fontId="11" fillId="0" borderId="0" xfId="59" applyNumberFormat="1" applyFont="1" applyFill="1" applyBorder="1" applyAlignment="1" applyProtection="1">
      <alignment horizontal="center" vertical="center"/>
      <protection/>
    </xf>
    <xf numFmtId="167" fontId="18" fillId="0" borderId="44" xfId="59" applyNumberFormat="1" applyFont="1" applyFill="1" applyBorder="1" applyAlignment="1" applyProtection="1">
      <alignment horizontal="left"/>
      <protection/>
    </xf>
    <xf numFmtId="0" fontId="11" fillId="0" borderId="0" xfId="59" applyFont="1" applyFill="1" applyBorder="1" applyAlignment="1" applyProtection="1">
      <alignment horizontal="center"/>
      <protection/>
    </xf>
    <xf numFmtId="167" fontId="32" fillId="0" borderId="71" xfId="0" applyNumberFormat="1" applyFont="1" applyFill="1" applyBorder="1" applyAlignment="1" applyProtection="1">
      <alignment horizontal="center" vertical="center" wrapText="1"/>
      <protection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textRotation="180" wrapText="1"/>
      <protection/>
    </xf>
    <xf numFmtId="167" fontId="20" fillId="0" borderId="54" xfId="0" applyNumberFormat="1" applyFont="1" applyFill="1" applyBorder="1" applyAlignment="1" applyProtection="1">
      <alignment horizontal="center" vertical="center" wrapText="1"/>
      <protection/>
    </xf>
    <xf numFmtId="167" fontId="20" fillId="0" borderId="17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Fill="1" applyBorder="1" applyAlignment="1">
      <alignment horizontal="right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167" fontId="1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 readingOrder="2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72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textRotation="180"/>
    </xf>
    <xf numFmtId="0" fontId="34" fillId="0" borderId="71" xfId="0" applyFon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0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 customHeight="1">
      <c r="A2" s="465" t="s">
        <v>0</v>
      </c>
      <c r="B2" s="465"/>
      <c r="C2" s="465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466" t="s">
        <v>4</v>
      </c>
      <c r="B6" s="466"/>
      <c r="C6" s="466"/>
    </row>
    <row r="7" spans="1:3" ht="12.75">
      <c r="A7" s="5" t="s">
        <v>5</v>
      </c>
      <c r="B7" s="5" t="s">
        <v>6</v>
      </c>
      <c r="C7" s="6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5" t="s">
        <v>7</v>
      </c>
      <c r="B8" s="5" t="s">
        <v>8</v>
      </c>
      <c r="C8" s="6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5" t="s">
        <v>9</v>
      </c>
      <c r="B9" s="5" t="s">
        <v>10</v>
      </c>
      <c r="C9" s="6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5" t="s">
        <v>11</v>
      </c>
      <c r="B10" s="5" t="s">
        <v>12</v>
      </c>
      <c r="C10" s="6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5" t="s">
        <v>13</v>
      </c>
      <c r="B11" s="5" t="s">
        <v>14</v>
      </c>
      <c r="C11" s="6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5" t="s">
        <v>15</v>
      </c>
      <c r="B12" s="5" t="s">
        <v>16</v>
      </c>
      <c r="C12" s="6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5" t="s">
        <v>17</v>
      </c>
      <c r="B13" s="5" t="s">
        <v>18</v>
      </c>
      <c r="C13" s="6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5" t="s">
        <v>19</v>
      </c>
      <c r="B14" s="5" t="s">
        <v>20</v>
      </c>
      <c r="C14" s="6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5" t="s">
        <v>21</v>
      </c>
      <c r="B15" s="5" t="s">
        <v>22</v>
      </c>
      <c r="C15" s="6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5" t="s">
        <v>23</v>
      </c>
      <c r="B16" s="5" t="s">
        <v>24</v>
      </c>
      <c r="C16" s="6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5" t="s">
        <v>25</v>
      </c>
      <c r="B17" s="5" t="s">
        <v>26</v>
      </c>
      <c r="C17" s="6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5" t="s">
        <v>27</v>
      </c>
      <c r="B18" s="5" t="s">
        <v>28</v>
      </c>
      <c r="C18" s="6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5" t="s">
        <v>29</v>
      </c>
      <c r="B19" s="5" t="s">
        <v>30</v>
      </c>
      <c r="C19" s="6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5" t="s">
        <v>31</v>
      </c>
      <c r="B20" s="5" t="s">
        <v>32</v>
      </c>
      <c r="C20" s="6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5" t="s">
        <v>33</v>
      </c>
      <c r="B21" s="5" t="s">
        <v>34</v>
      </c>
      <c r="C21" s="6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5" t="s">
        <v>35</v>
      </c>
      <c r="B22" s="5" t="str">
        <f>RM_ALAPADATOK!A11</f>
        <v>Eleki Közös Önkormányzati Hivatal</v>
      </c>
      <c r="C22" s="6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3" spans="1:3" ht="12.75">
      <c r="A23" s="5" t="s">
        <v>36</v>
      </c>
      <c r="B23" t="str">
        <f>RM_ALAPADATOK!B13</f>
        <v>Elek Város Óvoda-Bölcsőde</v>
      </c>
      <c r="C23" s="6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5" t="s">
        <v>37</v>
      </c>
      <c r="B24" t="str">
        <f>RM_ALAPADATOK!B15</f>
        <v>Reibel Mihály Városi Művelődési Központ és Könyvtár</v>
      </c>
      <c r="C24" s="6" t="str">
        <f ca="1">HYPERLINK(SUBSTITUTE(CELL("address",'RM_5.4.sz.mell'!A1),"'",""),SUBSTITUTE(MID(CELL("address",'RM_5.4.sz.mell'!A1),SEARCH("]",CELL("address",'RM_5.4.sz.mell'!A1),1)+1,LEN(CELL("address",'RM_5.4.sz.mell'!A1))-SEARCH("]",CELL("address",'RM_5.4.sz.mell'!A1),1)),"'",""))</f>
        <v>RM_5.4.sz.mell!$A$1</v>
      </c>
    </row>
    <row r="25" spans="1:3" ht="12.75">
      <c r="A25" s="5" t="s">
        <v>38</v>
      </c>
      <c r="B25" t="str">
        <f>RM_ALAPADATOK!B17</f>
        <v>Naplemente Idősek Otthona</v>
      </c>
      <c r="C25" s="6" t="str">
        <f ca="1">HYPERLINK(SUBSTITUTE(CELL("address",'RM_5.5.sz.mell'!A1),"'",""),SUBSTITUTE(MID(CELL("address",'RM_5.5.sz.mell'!A1),SEARCH("]",CELL("address",'RM_5.5.sz.mell'!A1),1)+1,LEN(CELL("address",'RM_5.5.sz.mell'!A1))-SEARCH("]",CELL("address",'RM_5.5.sz.mell'!A1),1)),"'",""))</f>
        <v>RM_5.5.sz.mell!$A$1</v>
      </c>
    </row>
    <row r="26" spans="1:3" ht="12.75">
      <c r="A26" s="5" t="s">
        <v>39</v>
      </c>
      <c r="B26" t="str">
        <f>RM_ALAPADATOK!B19</f>
        <v>4 kvi név</v>
      </c>
      <c r="C26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" t="s">
        <v>40</v>
      </c>
      <c r="B27" t="str">
        <f>RM_ALAPADATOK!B21</f>
        <v>5 kvi név</v>
      </c>
      <c r="C27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" t="s">
        <v>41</v>
      </c>
      <c r="B28" t="str">
        <f>RM_ALAPADATOK!B23</f>
        <v>6 kvi név</v>
      </c>
      <c r="C28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" t="s">
        <v>42</v>
      </c>
      <c r="B29" t="str">
        <f>RM_ALAPADATOK!B25</f>
        <v>7 kvi név</v>
      </c>
      <c r="C29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" t="s">
        <v>43</v>
      </c>
      <c r="B30" t="str">
        <f>RM_ALAPADATOK!B27</f>
        <v>8 kvi név</v>
      </c>
      <c r="C30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" t="s">
        <v>44</v>
      </c>
      <c r="B31" t="str">
        <f>RM_ALAPADATOK!B29</f>
        <v>9 kvi név</v>
      </c>
      <c r="C31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" t="s">
        <v>45</v>
      </c>
      <c r="B32" t="str">
        <f>RM_ALAPADATOK!B31</f>
        <v>10 kvi név</v>
      </c>
      <c r="C32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" t="s">
        <v>46</v>
      </c>
      <c r="B33" t="str">
        <f>'RM_6.sz.mell'!B1</f>
        <v>A 2019. évi általános működés és ágazati feladatok támogatásának alakulása jogcímenként</v>
      </c>
      <c r="C33" s="6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 objects="1" scenarios="1"/>
  <mergeCells count="2">
    <mergeCell ref="A2:C2"/>
    <mergeCell ref="A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" t="s">
        <v>489</v>
      </c>
      <c r="B1" s="15"/>
      <c r="C1" s="15"/>
      <c r="D1" s="15"/>
      <c r="E1" s="244" t="s">
        <v>490</v>
      </c>
    </row>
    <row r="2" spans="1:5" ht="12.75">
      <c r="A2" s="15"/>
      <c r="B2" s="15"/>
      <c r="C2" s="15"/>
      <c r="D2" s="15"/>
      <c r="E2" s="15"/>
    </row>
    <row r="3" spans="1:5" ht="12.75">
      <c r="A3" s="16"/>
      <c r="B3" s="245"/>
      <c r="C3" s="16"/>
      <c r="D3" s="246"/>
      <c r="E3" s="245"/>
    </row>
    <row r="4" spans="1:5" ht="15.75">
      <c r="A4" s="17" t="str">
        <f>+RM_ÖSSZEFÜGGÉSEK!A6</f>
        <v>2019. évi eredeti előirányzat BEVÉTELEK</v>
      </c>
      <c r="B4" s="247"/>
      <c r="C4" s="18"/>
      <c r="D4" s="246"/>
      <c r="E4" s="245"/>
    </row>
    <row r="5" spans="1:5" ht="12.75">
      <c r="A5" s="16"/>
      <c r="B5" s="245"/>
      <c r="C5" s="16"/>
      <c r="D5" s="246"/>
      <c r="E5" s="245"/>
    </row>
    <row r="6" spans="1:5" ht="12.75">
      <c r="A6" s="16" t="s">
        <v>77</v>
      </c>
      <c r="B6" s="245">
        <f>+'RM_1.1.sz.mell.'!C68</f>
        <v>619061781</v>
      </c>
      <c r="C6" s="16" t="s">
        <v>78</v>
      </c>
      <c r="D6" s="246">
        <f>+'RM_2.1.sz.mell.'!C18+'RM_2.2.sz.mell.'!C17</f>
        <v>619061781</v>
      </c>
      <c r="E6" s="245">
        <f>+B6-D6</f>
        <v>0</v>
      </c>
    </row>
    <row r="7" spans="1:5" ht="12.75">
      <c r="A7" s="16" t="s">
        <v>491</v>
      </c>
      <c r="B7" s="245">
        <f>+'RM_1.1.sz.mell.'!C92</f>
        <v>253118762</v>
      </c>
      <c r="C7" s="16" t="s">
        <v>80</v>
      </c>
      <c r="D7" s="246">
        <f>+'RM_2.1.sz.mell.'!C29+'RM_2.2.sz.mell.'!C30</f>
        <v>253118762</v>
      </c>
      <c r="E7" s="245">
        <f>+B7-D7</f>
        <v>0</v>
      </c>
    </row>
    <row r="8" spans="1:5" ht="12.75">
      <c r="A8" s="16" t="s">
        <v>492</v>
      </c>
      <c r="B8" s="245">
        <f>+'RM_1.1.sz.mell.'!C93</f>
        <v>872180543</v>
      </c>
      <c r="C8" s="16" t="s">
        <v>82</v>
      </c>
      <c r="D8" s="246">
        <f>+'RM_2.1.sz.mell.'!C30+'RM_2.2.sz.mell.'!C31</f>
        <v>872180543</v>
      </c>
      <c r="E8" s="245">
        <f>+B8-D8</f>
        <v>0</v>
      </c>
    </row>
    <row r="9" spans="1:5" ht="12.75">
      <c r="A9" s="16"/>
      <c r="B9" s="245"/>
      <c r="C9" s="16"/>
      <c r="D9" s="246"/>
      <c r="E9" s="245"/>
    </row>
    <row r="10" spans="1:5" ht="15.75">
      <c r="A10" s="17" t="str">
        <f>+RM_ÖSSZEFÜGGÉSEK!A13</f>
        <v>2019. évi előirányzat módosítások BEVÉTELEK</v>
      </c>
      <c r="B10" s="247"/>
      <c r="C10" s="18"/>
      <c r="D10" s="246"/>
      <c r="E10" s="245"/>
    </row>
    <row r="11" spans="1:5" ht="12.75">
      <c r="A11" s="16"/>
      <c r="B11" s="245"/>
      <c r="C11" s="16"/>
      <c r="D11" s="246"/>
      <c r="E11" s="245"/>
    </row>
    <row r="12" spans="1:5" ht="12.75">
      <c r="A12" s="16" t="s">
        <v>83</v>
      </c>
      <c r="B12" s="245">
        <f>+'RM_1.1.sz.mell.'!J68</f>
        <v>254013185</v>
      </c>
      <c r="C12" s="16" t="s">
        <v>84</v>
      </c>
      <c r="D12" s="246">
        <f>+'RM_2.1.sz.mell.'!D18+'RM_2.2.sz.mell.'!D17</f>
        <v>254013185</v>
      </c>
      <c r="E12" s="245">
        <f>+B12-D12</f>
        <v>0</v>
      </c>
    </row>
    <row r="13" spans="1:5" ht="12.75">
      <c r="A13" s="16" t="s">
        <v>85</v>
      </c>
      <c r="B13" s="245">
        <f>+'RM_1.1.sz.mell.'!J92</f>
        <v>176215639</v>
      </c>
      <c r="C13" s="16" t="s">
        <v>86</v>
      </c>
      <c r="D13" s="246">
        <f>+'RM_2.1.sz.mell.'!D29+'RM_2.2.sz.mell.'!D30</f>
        <v>176215639</v>
      </c>
      <c r="E13" s="245">
        <f>+B13-D13</f>
        <v>0</v>
      </c>
    </row>
    <row r="14" spans="1:5" ht="12.75">
      <c r="A14" s="16" t="s">
        <v>87</v>
      </c>
      <c r="B14" s="245">
        <f>+'RM_1.1.sz.mell.'!J93</f>
        <v>430228824</v>
      </c>
      <c r="C14" s="16" t="s">
        <v>88</v>
      </c>
      <c r="D14" s="246">
        <f>+'RM_2.1.sz.mell.'!D30+'RM_2.2.sz.mell.'!D31</f>
        <v>430228824</v>
      </c>
      <c r="E14" s="245">
        <f>+B14-D14</f>
        <v>0</v>
      </c>
    </row>
    <row r="15" spans="1:5" ht="12.75">
      <c r="A15" s="16"/>
      <c r="B15" s="245"/>
      <c r="C15" s="16"/>
      <c r="D15" s="246"/>
      <c r="E15" s="245"/>
    </row>
    <row r="16" spans="1:5" ht="14.25">
      <c r="A16" s="248" t="str">
        <f>+RM_ÖSSZEFÜGGÉSEK!A19</f>
        <v>2019. módosítás utáni módosított előrirányzatok BEVÉTELEK</v>
      </c>
      <c r="B16" s="249"/>
      <c r="C16" s="18"/>
      <c r="D16" s="246"/>
      <c r="E16" s="245"/>
    </row>
    <row r="17" spans="1:5" ht="12.75">
      <c r="A17" s="16"/>
      <c r="B17" s="245"/>
      <c r="C17" s="16"/>
      <c r="D17" s="246"/>
      <c r="E17" s="245"/>
    </row>
    <row r="18" spans="1:5" ht="12.75">
      <c r="A18" s="16" t="s">
        <v>89</v>
      </c>
      <c r="B18" s="245">
        <f>+'RM_1.1.sz.mell.'!K68</f>
        <v>873074966</v>
      </c>
      <c r="C18" s="16" t="s">
        <v>90</v>
      </c>
      <c r="D18" s="246">
        <f>+'RM_2.1.sz.mell.'!E18+'RM_2.2.sz.mell.'!E17</f>
        <v>873074966</v>
      </c>
      <c r="E18" s="245">
        <f>+B18-D18</f>
        <v>0</v>
      </c>
    </row>
    <row r="19" spans="1:5" ht="12.75">
      <c r="A19" s="16" t="s">
        <v>91</v>
      </c>
      <c r="B19" s="245">
        <f>+'RM_1.1.sz.mell.'!K92</f>
        <v>429334401</v>
      </c>
      <c r="C19" s="16" t="s">
        <v>92</v>
      </c>
      <c r="D19" s="246">
        <f>+'RM_2.1.sz.mell.'!E29+'RM_2.2.sz.mell.'!E30</f>
        <v>429334401</v>
      </c>
      <c r="E19" s="245">
        <f>+B19-D19</f>
        <v>0</v>
      </c>
    </row>
    <row r="20" spans="1:5" ht="12.75">
      <c r="A20" s="16" t="s">
        <v>93</v>
      </c>
      <c r="B20" s="245">
        <f>+'RM_1.1.sz.mell.'!K93</f>
        <v>1302409367</v>
      </c>
      <c r="C20" s="16" t="s">
        <v>94</v>
      </c>
      <c r="D20" s="246">
        <f>+'RM_2.1.sz.mell.'!E30+'RM_2.2.sz.mell.'!E31</f>
        <v>1302409367</v>
      </c>
      <c r="E20" s="245">
        <f>+B20-D20</f>
        <v>0</v>
      </c>
    </row>
    <row r="21" spans="1:5" ht="12.75">
      <c r="A21" s="16"/>
      <c r="B21" s="245"/>
      <c r="C21" s="16"/>
      <c r="D21" s="246"/>
      <c r="E21" s="245"/>
    </row>
    <row r="22" spans="1:5" ht="15.75">
      <c r="A22" s="17" t="str">
        <f>+RM_ÖSSZEFÜGGÉSEK!A25</f>
        <v>2019. évi eredeti előirányzat KIADÁSOK</v>
      </c>
      <c r="B22" s="247"/>
      <c r="C22" s="18"/>
      <c r="D22" s="246"/>
      <c r="E22" s="245"/>
    </row>
    <row r="23" spans="1:5" ht="12.75">
      <c r="A23" s="16"/>
      <c r="B23" s="245"/>
      <c r="C23" s="16"/>
      <c r="D23" s="246"/>
      <c r="E23" s="245"/>
    </row>
    <row r="24" spans="1:5" ht="12.75">
      <c r="A24" s="16" t="s">
        <v>493</v>
      </c>
      <c r="B24" s="245">
        <f>+'RM_1.1.sz.mell.'!C135</f>
        <v>856790512</v>
      </c>
      <c r="C24" s="16" t="s">
        <v>96</v>
      </c>
      <c r="D24" s="246">
        <f>+'RM_2.1.sz.mell.'!G18+'RM_2.2.sz.mell.'!G17</f>
        <v>856790512</v>
      </c>
      <c r="E24" s="245">
        <f>+B24-D24</f>
        <v>0</v>
      </c>
    </row>
    <row r="25" spans="1:5" ht="12.75">
      <c r="A25" s="16" t="s">
        <v>97</v>
      </c>
      <c r="B25" s="245">
        <f>+'RM_1.1.sz.mell.'!C160</f>
        <v>15390031</v>
      </c>
      <c r="C25" s="16" t="s">
        <v>98</v>
      </c>
      <c r="D25" s="246">
        <f>+'RM_2.1.sz.mell.'!G29+'RM_2.2.sz.mell.'!G30</f>
        <v>15390031</v>
      </c>
      <c r="E25" s="245">
        <f>+B25-D25</f>
        <v>0</v>
      </c>
    </row>
    <row r="26" spans="1:5" ht="12.75">
      <c r="A26" s="16" t="s">
        <v>99</v>
      </c>
      <c r="B26" s="245">
        <f>+'RM_1.1.sz.mell.'!C161</f>
        <v>872180543</v>
      </c>
      <c r="C26" s="16" t="s">
        <v>100</v>
      </c>
      <c r="D26" s="246">
        <f>+'RM_2.1.sz.mell.'!G30+'RM_2.2.sz.mell.'!G31</f>
        <v>872180543</v>
      </c>
      <c r="E26" s="245">
        <f>+B26-D26</f>
        <v>0</v>
      </c>
    </row>
    <row r="27" spans="1:5" ht="12.75">
      <c r="A27" s="16"/>
      <c r="B27" s="245"/>
      <c r="C27" s="16"/>
      <c r="D27" s="246"/>
      <c r="E27" s="245"/>
    </row>
    <row r="28" spans="1:5" ht="15.75">
      <c r="A28" s="17" t="str">
        <f>+RM_ÖSSZEFÜGGÉSEK!A31</f>
        <v>2019. évi előirányzat módosítások KIADÁSOK</v>
      </c>
      <c r="B28" s="247"/>
      <c r="C28" s="18"/>
      <c r="D28" s="246"/>
      <c r="E28" s="245"/>
    </row>
    <row r="29" spans="1:5" ht="12.75">
      <c r="A29" s="16"/>
      <c r="B29" s="245"/>
      <c r="C29" s="16"/>
      <c r="D29" s="246"/>
      <c r="E29" s="245"/>
    </row>
    <row r="30" spans="1:5" ht="12.75">
      <c r="A30" s="16" t="s">
        <v>101</v>
      </c>
      <c r="B30" s="245">
        <f>+'RM_1.1.sz.mell.'!J135</f>
        <v>430228824</v>
      </c>
      <c r="C30" s="16" t="s">
        <v>102</v>
      </c>
      <c r="D30" s="246">
        <f>+'RM_2.1.sz.mell.'!H18+'RM_2.2.sz.mell.'!H17</f>
        <v>430228824</v>
      </c>
      <c r="E30" s="245">
        <f>+B30-D30</f>
        <v>0</v>
      </c>
    </row>
    <row r="31" spans="1:5" ht="12.75">
      <c r="A31" s="16" t="s">
        <v>103</v>
      </c>
      <c r="B31" s="245">
        <f>+'RM_1.1.sz.mell.'!J160</f>
        <v>0</v>
      </c>
      <c r="C31" s="16" t="s">
        <v>104</v>
      </c>
      <c r="D31" s="246">
        <f>+'RM_2.1.sz.mell.'!H29+'RM_2.2.sz.mell.'!H30</f>
        <v>0</v>
      </c>
      <c r="E31" s="245">
        <f>+B31-D31</f>
        <v>0</v>
      </c>
    </row>
    <row r="32" spans="1:5" ht="12.75">
      <c r="A32" s="16" t="s">
        <v>105</v>
      </c>
      <c r="B32" s="245">
        <f>+'RM_1.1.sz.mell.'!J161</f>
        <v>430228824</v>
      </c>
      <c r="C32" s="16" t="s">
        <v>106</v>
      </c>
      <c r="D32" s="246">
        <f>+'RM_2.1.sz.mell.'!H30+'RM_2.2.sz.mell.'!H31</f>
        <v>430228824</v>
      </c>
      <c r="E32" s="245">
        <f>+B32-D32</f>
        <v>0</v>
      </c>
    </row>
    <row r="33" spans="1:5" ht="12.75">
      <c r="A33" s="16"/>
      <c r="B33" s="245"/>
      <c r="C33" s="16"/>
      <c r="D33" s="246"/>
      <c r="E33" s="245"/>
    </row>
    <row r="34" spans="1:5" ht="15.75">
      <c r="A34" s="21" t="str">
        <f>+RM_ÖSSZEFÜGGÉSEK!A37</f>
        <v>2019. módosítás utáni módosított előirányzatok KIADÁSOK</v>
      </c>
      <c r="B34" s="247"/>
      <c r="C34" s="18"/>
      <c r="D34" s="246"/>
      <c r="E34" s="245"/>
    </row>
    <row r="35" spans="1:5" ht="12.75">
      <c r="A35" s="16"/>
      <c r="B35" s="245"/>
      <c r="C35" s="16"/>
      <c r="D35" s="246"/>
      <c r="E35" s="245"/>
    </row>
    <row r="36" spans="1:5" ht="12.75">
      <c r="A36" s="16" t="s">
        <v>107</v>
      </c>
      <c r="B36" s="245">
        <f>+'RM_1.1.sz.mell.'!K135</f>
        <v>1287019336</v>
      </c>
      <c r="C36" s="16" t="s">
        <v>108</v>
      </c>
      <c r="D36" s="246">
        <f>+'RM_2.1.sz.mell.'!I18+'RM_2.2.sz.mell.'!I17</f>
        <v>1287019336</v>
      </c>
      <c r="E36" s="245">
        <f>+B36-D36</f>
        <v>0</v>
      </c>
    </row>
    <row r="37" spans="1:5" ht="12.75">
      <c r="A37" s="16" t="s">
        <v>109</v>
      </c>
      <c r="B37" s="245">
        <f>+'RM_1.1.sz.mell.'!K160</f>
        <v>15390031</v>
      </c>
      <c r="C37" s="16" t="s">
        <v>110</v>
      </c>
      <c r="D37" s="246">
        <f>+'RM_2.1.sz.mell.'!I29+'RM_2.2.sz.mell.'!I30</f>
        <v>15390031</v>
      </c>
      <c r="E37" s="245">
        <f>+B37-D37</f>
        <v>0</v>
      </c>
    </row>
    <row r="38" spans="1:5" ht="12.75">
      <c r="A38" s="16" t="s">
        <v>494</v>
      </c>
      <c r="B38" s="245">
        <f>+'RM_1.1.sz.mell.'!K161</f>
        <v>1302409367</v>
      </c>
      <c r="C38" s="16" t="s">
        <v>112</v>
      </c>
      <c r="D38" s="246">
        <f>+'RM_2.1.sz.mell.'!I30+'RM_2.2.sz.mell.'!I31</f>
        <v>1302409367</v>
      </c>
      <c r="E38" s="245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120" zoomScaleNormal="120" zoomScalePageLayoutView="0" workbookViewId="0" topLeftCell="A13">
      <selection activeCell="F25" sqref="F25:G25"/>
    </sheetView>
  </sheetViews>
  <sheetFormatPr defaultColWidth="9.00390625" defaultRowHeight="12.75"/>
  <cols>
    <col min="1" max="1" width="38.875" style="250" customWidth="1"/>
    <col min="2" max="8" width="15.875" style="251" customWidth="1"/>
    <col min="9" max="9" width="15.875" style="174" customWidth="1"/>
    <col min="10" max="11" width="12.875" style="251" customWidth="1"/>
    <col min="12" max="12" width="13.875" style="251" customWidth="1"/>
    <col min="13" max="16384" width="9.375" style="251" customWidth="1"/>
  </cols>
  <sheetData>
    <row r="1" spans="3:9" ht="15">
      <c r="C1" s="487" t="str">
        <f>CONCATENATE("3. melléklet ",RM_ALAPADATOK!A7," ",RM_ALAPADATOK!B7," ",RM_ALAPADATOK!C7," ",RM_ALAPADATOK!D7," ",RM_ALAPADATOK!E7," ",RM_ALAPADATOK!F7," ",RM_ALAPADATOK!G7," ",RM_ALAPADATOK!H7)</f>
        <v>3. melléklet a  / 2019 (  ) önkormányzati rendelethez</v>
      </c>
      <c r="D1" s="487"/>
      <c r="E1" s="487"/>
      <c r="F1" s="487"/>
      <c r="G1" s="487"/>
      <c r="H1" s="487"/>
      <c r="I1" s="487"/>
    </row>
    <row r="3" spans="1:9" ht="25.5" customHeight="1">
      <c r="A3" s="483" t="s">
        <v>24</v>
      </c>
      <c r="B3" s="483"/>
      <c r="C3" s="483"/>
      <c r="D3" s="483"/>
      <c r="E3" s="483"/>
      <c r="F3" s="483"/>
      <c r="G3" s="483"/>
      <c r="H3" s="483"/>
      <c r="I3" s="483"/>
    </row>
    <row r="4" spans="1:9" ht="22.5" customHeight="1">
      <c r="A4" s="175"/>
      <c r="B4" s="174"/>
      <c r="C4" s="174"/>
      <c r="D4" s="174"/>
      <c r="E4" s="174"/>
      <c r="F4" s="174"/>
      <c r="G4" s="174"/>
      <c r="H4" s="174"/>
      <c r="I4" s="252" t="str">
        <f>'RM_2.2.sz.mell.'!I2</f>
        <v>Forintban!</v>
      </c>
    </row>
    <row r="5" spans="1:9" s="255" customFormat="1" ht="44.25" customHeight="1">
      <c r="A5" s="177" t="s">
        <v>495</v>
      </c>
      <c r="B5" s="253" t="s">
        <v>496</v>
      </c>
      <c r="C5" s="253" t="s">
        <v>497</v>
      </c>
      <c r="D5" s="253" t="str">
        <f>+CONCATENATE("Felhasználás   ",LEFT(RM_ÖSSZEFÜGGÉSEK!A6,4)-1,". XII. 31-ig")</f>
        <v>Felhasználás   2018. XII. 31-ig</v>
      </c>
      <c r="E5" s="253" t="str">
        <f>+CONCATENATE(LEFT(RM_ÖSSZEFÜGGÉSEK!A6,4),". évi",CHAR(10),"eredeti előirányzat")</f>
        <v>2019. évi
eredeti előirányzat</v>
      </c>
      <c r="F5" s="178" t="s">
        <v>498</v>
      </c>
      <c r="G5" s="178" t="s">
        <v>637</v>
      </c>
      <c r="H5" s="178" t="s">
        <v>638</v>
      </c>
      <c r="I5" s="254" t="s">
        <v>640</v>
      </c>
    </row>
    <row r="6" spans="1:9" s="174" customFormat="1" ht="12" customHeight="1">
      <c r="A6" s="256" t="s">
        <v>127</v>
      </c>
      <c r="B6" s="257" t="s">
        <v>128</v>
      </c>
      <c r="C6" s="257" t="s">
        <v>129</v>
      </c>
      <c r="D6" s="257" t="s">
        <v>130</v>
      </c>
      <c r="E6" s="257" t="s">
        <v>131</v>
      </c>
      <c r="F6" s="257" t="s">
        <v>132</v>
      </c>
      <c r="G6" s="257" t="s">
        <v>133</v>
      </c>
      <c r="H6" s="258" t="s">
        <v>499</v>
      </c>
      <c r="I6" s="259" t="s">
        <v>500</v>
      </c>
    </row>
    <row r="7" spans="1:9" ht="15.75" customHeight="1">
      <c r="A7" s="260" t="s">
        <v>501</v>
      </c>
      <c r="B7" s="261">
        <v>7000000</v>
      </c>
      <c r="C7" s="262" t="s">
        <v>502</v>
      </c>
      <c r="D7" s="261"/>
      <c r="E7" s="261">
        <v>7000000</v>
      </c>
      <c r="F7" s="261"/>
      <c r="G7" s="261"/>
      <c r="H7" s="261">
        <f>F7+G7</f>
        <v>0</v>
      </c>
      <c r="I7" s="263">
        <f>E7+H7</f>
        <v>7000000</v>
      </c>
    </row>
    <row r="8" spans="1:9" ht="15.75" customHeight="1">
      <c r="A8" s="260" t="s">
        <v>503</v>
      </c>
      <c r="B8" s="261">
        <v>10211862</v>
      </c>
      <c r="C8" s="262" t="s">
        <v>502</v>
      </c>
      <c r="D8" s="261"/>
      <c r="E8" s="261">
        <v>10211862</v>
      </c>
      <c r="F8" s="261"/>
      <c r="G8" s="261">
        <v>106253</v>
      </c>
      <c r="H8" s="261">
        <f>F8+G8</f>
        <v>106253</v>
      </c>
      <c r="I8" s="263">
        <f>E8+H8</f>
        <v>10318115</v>
      </c>
    </row>
    <row r="9" spans="1:9" ht="15.75" customHeight="1">
      <c r="A9" s="260" t="s">
        <v>504</v>
      </c>
      <c r="B9" s="261">
        <v>10000000</v>
      </c>
      <c r="C9" s="262" t="s">
        <v>502</v>
      </c>
      <c r="D9" s="261"/>
      <c r="E9" s="261">
        <v>10000000</v>
      </c>
      <c r="F9" s="261"/>
      <c r="G9" s="261">
        <v>-4690921</v>
      </c>
      <c r="H9" s="261">
        <f aca="true" t="shared" si="0" ref="H9:H24">F9+G9</f>
        <v>-4690921</v>
      </c>
      <c r="I9" s="263">
        <f aca="true" t="shared" si="1" ref="I9:I24">E9+H9</f>
        <v>5309079</v>
      </c>
    </row>
    <row r="10" spans="1:9" ht="15.75" customHeight="1">
      <c r="A10" s="264" t="s">
        <v>505</v>
      </c>
      <c r="B10" s="261">
        <v>635000</v>
      </c>
      <c r="C10" s="262" t="s">
        <v>502</v>
      </c>
      <c r="D10" s="261"/>
      <c r="E10" s="261">
        <v>635000</v>
      </c>
      <c r="F10" s="261"/>
      <c r="G10" s="261"/>
      <c r="H10" s="261">
        <f t="shared" si="0"/>
        <v>0</v>
      </c>
      <c r="I10" s="263">
        <f t="shared" si="1"/>
        <v>635000</v>
      </c>
    </row>
    <row r="11" spans="1:9" ht="15.75" customHeight="1">
      <c r="A11" s="260" t="s">
        <v>506</v>
      </c>
      <c r="B11" s="261">
        <v>167000</v>
      </c>
      <c r="C11" s="262" t="s">
        <v>502</v>
      </c>
      <c r="D11" s="261"/>
      <c r="E11" s="261">
        <v>167000</v>
      </c>
      <c r="F11" s="261"/>
      <c r="G11" s="261"/>
      <c r="H11" s="261">
        <f t="shared" si="0"/>
        <v>0</v>
      </c>
      <c r="I11" s="263">
        <f t="shared" si="1"/>
        <v>167000</v>
      </c>
    </row>
    <row r="12" spans="1:9" ht="15.75" customHeight="1">
      <c r="A12" s="264" t="s">
        <v>507</v>
      </c>
      <c r="B12" s="261">
        <v>18677994</v>
      </c>
      <c r="C12" s="262" t="s">
        <v>502</v>
      </c>
      <c r="D12" s="261"/>
      <c r="E12" s="261"/>
      <c r="F12" s="261">
        <v>18677994</v>
      </c>
      <c r="G12" s="261">
        <v>348940</v>
      </c>
      <c r="H12" s="261">
        <f t="shared" si="0"/>
        <v>19026934</v>
      </c>
      <c r="I12" s="263">
        <f t="shared" si="1"/>
        <v>19026934</v>
      </c>
    </row>
    <row r="13" spans="1:9" ht="15.75" customHeight="1">
      <c r="A13" s="260" t="s">
        <v>508</v>
      </c>
      <c r="B13" s="261">
        <v>740448</v>
      </c>
      <c r="C13" s="262" t="s">
        <v>502</v>
      </c>
      <c r="D13" s="261"/>
      <c r="E13" s="261"/>
      <c r="F13" s="261">
        <v>740448</v>
      </c>
      <c r="G13" s="261"/>
      <c r="H13" s="261">
        <f t="shared" si="0"/>
        <v>740448</v>
      </c>
      <c r="I13" s="263">
        <f t="shared" si="1"/>
        <v>740448</v>
      </c>
    </row>
    <row r="14" spans="1:9" ht="15.75" customHeight="1">
      <c r="A14" s="260" t="s">
        <v>641</v>
      </c>
      <c r="B14" s="261"/>
      <c r="C14" s="262"/>
      <c r="D14" s="261"/>
      <c r="E14" s="261"/>
      <c r="F14" s="261"/>
      <c r="G14" s="261">
        <v>350000</v>
      </c>
      <c r="H14" s="261">
        <f t="shared" si="0"/>
        <v>350000</v>
      </c>
      <c r="I14" s="263">
        <f t="shared" si="1"/>
        <v>350000</v>
      </c>
    </row>
    <row r="15" spans="1:9" ht="15.75" customHeight="1">
      <c r="A15" s="260" t="s">
        <v>642</v>
      </c>
      <c r="B15" s="261"/>
      <c r="C15" s="262"/>
      <c r="D15" s="261"/>
      <c r="E15" s="261"/>
      <c r="F15" s="261"/>
      <c r="G15" s="261">
        <v>25990</v>
      </c>
      <c r="H15" s="261">
        <f t="shared" si="0"/>
        <v>25990</v>
      </c>
      <c r="I15" s="263">
        <f t="shared" si="1"/>
        <v>25990</v>
      </c>
    </row>
    <row r="16" spans="1:9" ht="15.75" customHeight="1">
      <c r="A16" s="260" t="s">
        <v>643</v>
      </c>
      <c r="B16" s="261"/>
      <c r="C16" s="262"/>
      <c r="D16" s="261"/>
      <c r="E16" s="261"/>
      <c r="F16" s="261"/>
      <c r="G16" s="261">
        <v>69300</v>
      </c>
      <c r="H16" s="261">
        <f t="shared" si="0"/>
        <v>69300</v>
      </c>
      <c r="I16" s="263">
        <f t="shared" si="1"/>
        <v>69300</v>
      </c>
    </row>
    <row r="17" spans="1:9" ht="15.75" customHeight="1">
      <c r="A17" s="260" t="s">
        <v>644</v>
      </c>
      <c r="B17" s="261"/>
      <c r="C17" s="262"/>
      <c r="D17" s="261"/>
      <c r="E17" s="261"/>
      <c r="F17" s="261"/>
      <c r="G17" s="261">
        <v>12700</v>
      </c>
      <c r="H17" s="261">
        <f t="shared" si="0"/>
        <v>12700</v>
      </c>
      <c r="I17" s="263">
        <f t="shared" si="1"/>
        <v>12700</v>
      </c>
    </row>
    <row r="18" spans="1:9" ht="15.75" customHeight="1">
      <c r="A18" s="260" t="s">
        <v>645</v>
      </c>
      <c r="B18" s="261"/>
      <c r="C18" s="262"/>
      <c r="D18" s="261"/>
      <c r="E18" s="261"/>
      <c r="F18" s="261"/>
      <c r="G18" s="261">
        <v>2794000</v>
      </c>
      <c r="H18" s="261">
        <f t="shared" si="0"/>
        <v>2794000</v>
      </c>
      <c r="I18" s="263">
        <f t="shared" si="1"/>
        <v>2794000</v>
      </c>
    </row>
    <row r="19" spans="1:9" ht="15.75" customHeight="1">
      <c r="A19" s="260" t="s">
        <v>646</v>
      </c>
      <c r="B19" s="261"/>
      <c r="C19" s="262"/>
      <c r="D19" s="261"/>
      <c r="E19" s="261"/>
      <c r="F19" s="261"/>
      <c r="G19" s="261">
        <v>818495</v>
      </c>
      <c r="H19" s="261">
        <f t="shared" si="0"/>
        <v>818495</v>
      </c>
      <c r="I19" s="263">
        <f t="shared" si="1"/>
        <v>818495</v>
      </c>
    </row>
    <row r="20" spans="1:9" ht="15.75" customHeight="1">
      <c r="A20" s="260" t="s">
        <v>647</v>
      </c>
      <c r="B20" s="261"/>
      <c r="C20" s="262"/>
      <c r="D20" s="261"/>
      <c r="E20" s="261"/>
      <c r="F20" s="261"/>
      <c r="G20" s="261">
        <v>184780</v>
      </c>
      <c r="H20" s="261">
        <f t="shared" si="0"/>
        <v>184780</v>
      </c>
      <c r="I20" s="263">
        <f t="shared" si="1"/>
        <v>184780</v>
      </c>
    </row>
    <row r="21" spans="1:9" ht="15.75" customHeight="1">
      <c r="A21" s="260"/>
      <c r="B21" s="261"/>
      <c r="C21" s="262"/>
      <c r="D21" s="261"/>
      <c r="E21" s="261"/>
      <c r="F21" s="261"/>
      <c r="G21" s="261"/>
      <c r="H21" s="261">
        <f t="shared" si="0"/>
        <v>0</v>
      </c>
      <c r="I21" s="263">
        <f t="shared" si="1"/>
        <v>0</v>
      </c>
    </row>
    <row r="22" spans="1:9" ht="15.75" customHeight="1">
      <c r="A22" s="260"/>
      <c r="B22" s="261"/>
      <c r="C22" s="262"/>
      <c r="D22" s="261"/>
      <c r="E22" s="261"/>
      <c r="F22" s="261"/>
      <c r="G22" s="261"/>
      <c r="H22" s="261">
        <f t="shared" si="0"/>
        <v>0</v>
      </c>
      <c r="I22" s="263">
        <f t="shared" si="1"/>
        <v>0</v>
      </c>
    </row>
    <row r="23" spans="1:9" ht="15.75" customHeight="1">
      <c r="A23" s="260"/>
      <c r="B23" s="261"/>
      <c r="C23" s="262"/>
      <c r="D23" s="261"/>
      <c r="E23" s="261"/>
      <c r="F23" s="261"/>
      <c r="G23" s="261"/>
      <c r="H23" s="261">
        <f t="shared" si="0"/>
        <v>0</v>
      </c>
      <c r="I23" s="263">
        <f t="shared" si="1"/>
        <v>0</v>
      </c>
    </row>
    <row r="24" spans="1:9" ht="15.75" customHeight="1">
      <c r="A24" s="204"/>
      <c r="B24" s="265"/>
      <c r="C24" s="266"/>
      <c r="D24" s="265"/>
      <c r="E24" s="265"/>
      <c r="F24" s="265"/>
      <c r="G24" s="265"/>
      <c r="H24" s="261">
        <f t="shared" si="0"/>
        <v>0</v>
      </c>
      <c r="I24" s="267">
        <f t="shared" si="1"/>
        <v>0</v>
      </c>
    </row>
    <row r="25" spans="1:9" s="272" customFormat="1" ht="18" customHeight="1">
      <c r="A25" s="268" t="s">
        <v>509</v>
      </c>
      <c r="B25" s="269">
        <f>SUM(B7:B24)</f>
        <v>47432304</v>
      </c>
      <c r="C25" s="270"/>
      <c r="D25" s="269">
        <f aca="true" t="shared" si="2" ref="D25:I25">SUM(D7:D24)</f>
        <v>0</v>
      </c>
      <c r="E25" s="269">
        <f t="shared" si="2"/>
        <v>28013862</v>
      </c>
      <c r="F25" s="269">
        <f t="shared" si="2"/>
        <v>19418442</v>
      </c>
      <c r="G25" s="269">
        <f t="shared" si="2"/>
        <v>19537</v>
      </c>
      <c r="H25" s="269">
        <f t="shared" si="2"/>
        <v>19437979</v>
      </c>
      <c r="I25" s="271">
        <f t="shared" si="2"/>
        <v>47451841</v>
      </c>
    </row>
  </sheetData>
  <sheetProtection selectLockedCells="1" selectUnlockedCells="1"/>
  <mergeCells count="2">
    <mergeCell ref="C1:I1"/>
    <mergeCell ref="A3:I3"/>
  </mergeCells>
  <printOptions horizontalCentered="1"/>
  <pageMargins left="0.39375" right="0.39375" top="1.023611111111111" bottom="0.9840277777777777" header="0.5118055555555555" footer="0.5118055555555555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25"/>
  <sheetViews>
    <sheetView zoomScale="120" zoomScaleNormal="120" zoomScalePageLayoutView="0" workbookViewId="0" topLeftCell="A16">
      <selection activeCell="G16" sqref="G16"/>
    </sheetView>
  </sheetViews>
  <sheetFormatPr defaultColWidth="9.00390625" defaultRowHeight="12.75"/>
  <cols>
    <col min="1" max="1" width="38.875" style="250" customWidth="1"/>
    <col min="2" max="8" width="15.875" style="251" customWidth="1"/>
    <col min="9" max="9" width="15.875" style="174" customWidth="1"/>
    <col min="10" max="11" width="12.875" style="251" customWidth="1"/>
    <col min="12" max="12" width="13.875" style="251" customWidth="1"/>
    <col min="13" max="16384" width="9.375" style="251" customWidth="1"/>
  </cols>
  <sheetData>
    <row r="1" spans="3:9" ht="15">
      <c r="C1" s="487" t="str">
        <f>CONCATENATE("4. melléklet ",RM_ALAPADATOK!A7," ",RM_ALAPADATOK!B7," ",RM_ALAPADATOK!C7," ",RM_ALAPADATOK!D7," ",RM_ALAPADATOK!E7," ",RM_ALAPADATOK!F7," ",RM_ALAPADATOK!G7," ",RM_ALAPADATOK!H7)</f>
        <v>4. melléklet a  / 2019 (  ) önkormányzati rendelethez</v>
      </c>
      <c r="D1" s="487"/>
      <c r="E1" s="487"/>
      <c r="F1" s="487"/>
      <c r="G1" s="487"/>
      <c r="H1" s="487"/>
      <c r="I1" s="487"/>
    </row>
    <row r="2" spans="1:9" ht="12.75">
      <c r="A2" s="273"/>
      <c r="B2" s="274"/>
      <c r="C2" s="274"/>
      <c r="D2" s="274"/>
      <c r="E2" s="274"/>
      <c r="F2" s="274"/>
      <c r="G2" s="274"/>
      <c r="H2" s="274"/>
      <c r="I2" s="274"/>
    </row>
    <row r="3" spans="1:9" ht="25.5" customHeight="1">
      <c r="A3" s="483" t="s">
        <v>26</v>
      </c>
      <c r="B3" s="483"/>
      <c r="C3" s="483"/>
      <c r="D3" s="483"/>
      <c r="E3" s="483"/>
      <c r="F3" s="483"/>
      <c r="G3" s="483"/>
      <c r="H3" s="483"/>
      <c r="I3" s="483"/>
    </row>
    <row r="4" spans="1:9" ht="22.5" customHeight="1">
      <c r="A4" s="273"/>
      <c r="B4" s="274"/>
      <c r="C4" s="274"/>
      <c r="D4" s="274"/>
      <c r="E4" s="274"/>
      <c r="F4" s="274"/>
      <c r="G4" s="274"/>
      <c r="H4" s="274"/>
      <c r="I4" s="275" t="str">
        <f>'RM_2.2.sz.mell.'!I2</f>
        <v>Forintban!</v>
      </c>
    </row>
    <row r="5" spans="1:9" s="255" customFormat="1" ht="44.25" customHeight="1">
      <c r="A5" s="177" t="s">
        <v>510</v>
      </c>
      <c r="B5" s="276" t="s">
        <v>496</v>
      </c>
      <c r="C5" s="276" t="s">
        <v>497</v>
      </c>
      <c r="D5" s="276" t="str">
        <f>+CONCATENATE("Felhasználás   ",LEFT(RM_ÖSSZEFÜGGÉSEK!A6,4)-1,". XII. 31-ig")</f>
        <v>Felhasználás   2018. XII. 31-ig</v>
      </c>
      <c r="E5" s="276" t="str">
        <f>+CONCATENATE(LEFT(RM_ÖSSZEFÜGGÉSEK!A6,4),". évi",CHAR(10),"eredeti előirányzat")</f>
        <v>2019. évi
eredeti előirányzat</v>
      </c>
      <c r="F5" s="181" t="str">
        <f>CONCATENATE('RM_3.sz.mell.'!F5)</f>
        <v>Eddigi módosítások összege 2019-ben</v>
      </c>
      <c r="G5" s="277" t="str">
        <f>CONCATENATE('RM_3.sz.mell.'!G5)</f>
        <v>2.sz. módosítás</v>
      </c>
      <c r="H5" s="278" t="str">
        <f>CONCATENATE('RM_3.sz.mell.'!H5)</f>
        <v>Módosítások összesen 2019. 06.30.-ig</v>
      </c>
      <c r="I5" s="279" t="str">
        <f>CONCATENATE('RM_3.sz.mell.'!I5)</f>
        <v>2. számú módosítás utáni előirányzat</v>
      </c>
    </row>
    <row r="6" spans="1:9" s="174" customFormat="1" ht="12" customHeight="1">
      <c r="A6" s="256" t="s">
        <v>127</v>
      </c>
      <c r="B6" s="257" t="s">
        <v>128</v>
      </c>
      <c r="C6" s="257" t="s">
        <v>129</v>
      </c>
      <c r="D6" s="257" t="s">
        <v>130</v>
      </c>
      <c r="E6" s="257" t="s">
        <v>131</v>
      </c>
      <c r="F6" s="258" t="s">
        <v>132</v>
      </c>
      <c r="G6" s="258" t="s">
        <v>133</v>
      </c>
      <c r="H6" s="258" t="s">
        <v>499</v>
      </c>
      <c r="I6" s="259" t="s">
        <v>500</v>
      </c>
    </row>
    <row r="7" spans="1:9" ht="15.75" customHeight="1">
      <c r="A7" s="260" t="s">
        <v>511</v>
      </c>
      <c r="B7" s="261">
        <v>13000000</v>
      </c>
      <c r="C7" s="280" t="s">
        <v>502</v>
      </c>
      <c r="D7" s="281"/>
      <c r="E7" s="261">
        <v>13000000</v>
      </c>
      <c r="F7" s="261"/>
      <c r="G7" s="261">
        <v>13000000</v>
      </c>
      <c r="H7" s="282">
        <f>F7+G7</f>
        <v>13000000</v>
      </c>
      <c r="I7" s="263">
        <f>E7+H7</f>
        <v>26000000</v>
      </c>
    </row>
    <row r="8" spans="1:9" ht="15.75" customHeight="1">
      <c r="A8" s="260" t="s">
        <v>512</v>
      </c>
      <c r="B8" s="261">
        <v>5000000</v>
      </c>
      <c r="C8" s="280" t="s">
        <v>502</v>
      </c>
      <c r="D8" s="281"/>
      <c r="E8" s="261">
        <v>5000000</v>
      </c>
      <c r="F8" s="261"/>
      <c r="G8" s="261">
        <v>2813128</v>
      </c>
      <c r="H8" s="282">
        <f>F8+G8</f>
        <v>2813128</v>
      </c>
      <c r="I8" s="263">
        <f aca="true" t="shared" si="0" ref="I8:I24">E8+H8</f>
        <v>7813128</v>
      </c>
    </row>
    <row r="9" spans="1:9" ht="15.75" customHeight="1">
      <c r="A9" s="260" t="s">
        <v>513</v>
      </c>
      <c r="B9" s="261">
        <v>5000000</v>
      </c>
      <c r="C9" s="280" t="s">
        <v>502</v>
      </c>
      <c r="D9" s="281"/>
      <c r="E9" s="261">
        <v>5000000</v>
      </c>
      <c r="F9" s="261"/>
      <c r="G9" s="261"/>
      <c r="H9" s="282">
        <f>F9+G9</f>
        <v>0</v>
      </c>
      <c r="I9" s="263">
        <f t="shared" si="0"/>
        <v>5000000</v>
      </c>
    </row>
    <row r="10" spans="1:9" ht="15.75" customHeight="1">
      <c r="A10" s="283" t="s">
        <v>514</v>
      </c>
      <c r="B10" s="261">
        <v>7000000</v>
      </c>
      <c r="C10" s="280" t="s">
        <v>502</v>
      </c>
      <c r="D10" s="281"/>
      <c r="E10" s="261">
        <v>7000000</v>
      </c>
      <c r="F10" s="261"/>
      <c r="G10" s="261"/>
      <c r="H10" s="282">
        <f aca="true" t="shared" si="1" ref="H10:H24">F10+G10</f>
        <v>0</v>
      </c>
      <c r="I10" s="263">
        <f t="shared" si="0"/>
        <v>7000000</v>
      </c>
    </row>
    <row r="11" spans="1:9" ht="15.75" customHeight="1">
      <c r="A11" s="260" t="s">
        <v>515</v>
      </c>
      <c r="B11" s="261">
        <v>5672620</v>
      </c>
      <c r="C11" s="280" t="s">
        <v>502</v>
      </c>
      <c r="D11" s="281"/>
      <c r="E11" s="261">
        <v>5672620</v>
      </c>
      <c r="F11" s="261"/>
      <c r="G11" s="261"/>
      <c r="H11" s="282">
        <f t="shared" si="1"/>
        <v>0</v>
      </c>
      <c r="I11" s="263">
        <f t="shared" si="0"/>
        <v>5672620</v>
      </c>
    </row>
    <row r="12" spans="1:9" ht="27" customHeight="1">
      <c r="A12" s="284" t="s">
        <v>516</v>
      </c>
      <c r="B12" s="281">
        <v>56839146</v>
      </c>
      <c r="C12" s="280" t="s">
        <v>517</v>
      </c>
      <c r="D12" s="281">
        <v>1270000</v>
      </c>
      <c r="E12" s="281">
        <v>55569146</v>
      </c>
      <c r="F12" s="261"/>
      <c r="G12" s="261"/>
      <c r="H12" s="282">
        <f t="shared" si="1"/>
        <v>0</v>
      </c>
      <c r="I12" s="263">
        <f t="shared" si="0"/>
        <v>55569146</v>
      </c>
    </row>
    <row r="13" spans="1:9" ht="22.5" customHeight="1">
      <c r="A13" s="284" t="s">
        <v>518</v>
      </c>
      <c r="B13" s="281">
        <v>64522066</v>
      </c>
      <c r="C13" s="280" t="s">
        <v>517</v>
      </c>
      <c r="D13" s="281"/>
      <c r="E13" s="281">
        <v>64522066</v>
      </c>
      <c r="F13" s="261"/>
      <c r="G13" s="261"/>
      <c r="H13" s="282">
        <f t="shared" si="1"/>
        <v>0</v>
      </c>
      <c r="I13" s="263">
        <f t="shared" si="0"/>
        <v>64522066</v>
      </c>
    </row>
    <row r="14" spans="1:10" ht="15.75" customHeight="1">
      <c r="A14" s="260" t="s">
        <v>639</v>
      </c>
      <c r="B14" s="261"/>
      <c r="C14" s="262"/>
      <c r="D14" s="261"/>
      <c r="E14" s="261"/>
      <c r="F14" s="261"/>
      <c r="G14" s="261">
        <v>9690921</v>
      </c>
      <c r="H14" s="282">
        <f t="shared" si="1"/>
        <v>9690921</v>
      </c>
      <c r="I14" s="263">
        <f t="shared" si="0"/>
        <v>9690921</v>
      </c>
      <c r="J14" s="285"/>
    </row>
    <row r="15" spans="1:9" ht="15.75" customHeight="1">
      <c r="A15" s="260" t="s">
        <v>648</v>
      </c>
      <c r="B15" s="261"/>
      <c r="C15" s="262"/>
      <c r="D15" s="261"/>
      <c r="E15" s="261"/>
      <c r="F15" s="261"/>
      <c r="G15" s="261">
        <v>342658</v>
      </c>
      <c r="H15" s="282">
        <f t="shared" si="1"/>
        <v>342658</v>
      </c>
      <c r="I15" s="263">
        <f t="shared" si="0"/>
        <v>342658</v>
      </c>
    </row>
    <row r="16" spans="1:9" ht="15.75" customHeight="1">
      <c r="A16" s="260"/>
      <c r="B16" s="261"/>
      <c r="C16" s="262"/>
      <c r="D16" s="261"/>
      <c r="E16" s="261"/>
      <c r="F16" s="261"/>
      <c r="G16" s="261"/>
      <c r="H16" s="282">
        <f t="shared" si="1"/>
        <v>0</v>
      </c>
      <c r="I16" s="263">
        <f t="shared" si="0"/>
        <v>0</v>
      </c>
    </row>
    <row r="17" spans="1:9" ht="15.75" customHeight="1">
      <c r="A17" s="260"/>
      <c r="B17" s="261"/>
      <c r="C17" s="262"/>
      <c r="D17" s="261"/>
      <c r="E17" s="261"/>
      <c r="F17" s="261"/>
      <c r="G17" s="261"/>
      <c r="H17" s="282">
        <f t="shared" si="1"/>
        <v>0</v>
      </c>
      <c r="I17" s="263">
        <f t="shared" si="0"/>
        <v>0</v>
      </c>
    </row>
    <row r="18" spans="1:9" ht="15.75" customHeight="1">
      <c r="A18" s="260"/>
      <c r="B18" s="261"/>
      <c r="C18" s="262"/>
      <c r="D18" s="261"/>
      <c r="E18" s="261"/>
      <c r="F18" s="261"/>
      <c r="G18" s="261"/>
      <c r="H18" s="282">
        <f t="shared" si="1"/>
        <v>0</v>
      </c>
      <c r="I18" s="263">
        <f t="shared" si="0"/>
        <v>0</v>
      </c>
    </row>
    <row r="19" spans="1:9" ht="15.75" customHeight="1">
      <c r="A19" s="260"/>
      <c r="B19" s="261"/>
      <c r="C19" s="262"/>
      <c r="D19" s="261"/>
      <c r="E19" s="261"/>
      <c r="F19" s="261"/>
      <c r="G19" s="261"/>
      <c r="H19" s="282">
        <f t="shared" si="1"/>
        <v>0</v>
      </c>
      <c r="I19" s="263">
        <f t="shared" si="0"/>
        <v>0</v>
      </c>
    </row>
    <row r="20" spans="1:9" ht="15.75" customHeight="1">
      <c r="A20" s="260"/>
      <c r="B20" s="261"/>
      <c r="C20" s="262"/>
      <c r="D20" s="261"/>
      <c r="E20" s="261"/>
      <c r="F20" s="261"/>
      <c r="G20" s="261"/>
      <c r="H20" s="282">
        <f t="shared" si="1"/>
        <v>0</v>
      </c>
      <c r="I20" s="263">
        <f t="shared" si="0"/>
        <v>0</v>
      </c>
    </row>
    <row r="21" spans="1:9" ht="15.75" customHeight="1">
      <c r="A21" s="260"/>
      <c r="B21" s="261"/>
      <c r="C21" s="262"/>
      <c r="D21" s="261"/>
      <c r="E21" s="261"/>
      <c r="F21" s="261"/>
      <c r="G21" s="261"/>
      <c r="H21" s="282">
        <f t="shared" si="1"/>
        <v>0</v>
      </c>
      <c r="I21" s="263">
        <f t="shared" si="0"/>
        <v>0</v>
      </c>
    </row>
    <row r="22" spans="1:9" ht="15.75" customHeight="1">
      <c r="A22" s="260"/>
      <c r="B22" s="261"/>
      <c r="C22" s="262"/>
      <c r="D22" s="261"/>
      <c r="E22" s="261"/>
      <c r="F22" s="261"/>
      <c r="G22" s="261"/>
      <c r="H22" s="282">
        <f t="shared" si="1"/>
        <v>0</v>
      </c>
      <c r="I22" s="263">
        <f t="shared" si="0"/>
        <v>0</v>
      </c>
    </row>
    <row r="23" spans="1:9" ht="15.75" customHeight="1">
      <c r="A23" s="260"/>
      <c r="B23" s="261"/>
      <c r="C23" s="262"/>
      <c r="D23" s="261"/>
      <c r="E23" s="261"/>
      <c r="F23" s="261"/>
      <c r="G23" s="261"/>
      <c r="H23" s="282">
        <f t="shared" si="1"/>
        <v>0</v>
      </c>
      <c r="I23" s="263">
        <f t="shared" si="0"/>
        <v>0</v>
      </c>
    </row>
    <row r="24" spans="1:9" ht="15.75" customHeight="1">
      <c r="A24" s="204"/>
      <c r="B24" s="265"/>
      <c r="C24" s="266"/>
      <c r="D24" s="265"/>
      <c r="E24" s="265"/>
      <c r="F24" s="265"/>
      <c r="G24" s="265"/>
      <c r="H24" s="282">
        <f t="shared" si="1"/>
        <v>0</v>
      </c>
      <c r="I24" s="267">
        <f t="shared" si="0"/>
        <v>0</v>
      </c>
    </row>
    <row r="25" spans="1:9" s="272" customFormat="1" ht="18" customHeight="1">
      <c r="A25" s="268" t="s">
        <v>509</v>
      </c>
      <c r="B25" s="269">
        <f>SUM(B7:B24)</f>
        <v>157033832</v>
      </c>
      <c r="C25" s="270"/>
      <c r="D25" s="269">
        <f aca="true" t="shared" si="2" ref="D25:I25">SUM(D7:D24)</f>
        <v>1270000</v>
      </c>
      <c r="E25" s="269">
        <f t="shared" si="2"/>
        <v>155763832</v>
      </c>
      <c r="F25" s="269">
        <f t="shared" si="2"/>
        <v>0</v>
      </c>
      <c r="G25" s="269">
        <f t="shared" si="2"/>
        <v>25846707</v>
      </c>
      <c r="H25" s="269">
        <f t="shared" si="2"/>
        <v>25846707</v>
      </c>
      <c r="I25" s="271">
        <f t="shared" si="2"/>
        <v>181610539</v>
      </c>
    </row>
  </sheetData>
  <sheetProtection selectLockedCells="1" selectUnlockedCells="1"/>
  <mergeCells count="2">
    <mergeCell ref="C1:I1"/>
    <mergeCell ref="A3:I3"/>
  </mergeCells>
  <printOptions horizontalCentered="1"/>
  <pageMargins left="0.39375" right="0.39375" top="1.023611111111111" bottom="0.9840277777777777" header="0.5118055555555555" footer="0.5118055555555555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79">
      <selection activeCell="C98" sqref="C98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489" t="str">
        <f>CONCATENATE("5.1. melléklet ",RM_ALAPADATOK!A7," ",RM_ALAPADATOK!B7," ",RM_ALAPADATOK!C7," ",RM_ALAPADATOK!D7," ",RM_ALAPADATOK!E7," ",RM_ALAPADATOK!F7," ",RM_ALAPADATOK!G7," ",RM_ALAPADATOK!H7)</f>
        <v>5.1. melléklet a  / 2019 (  ) önkormányzati rendelethez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294" customFormat="1" ht="16.5" customHeight="1">
      <c r="A2" s="292" t="s">
        <v>405</v>
      </c>
      <c r="B2" s="490" t="str">
        <f>CONCATENATE(RM_ALAPADATOK!A3)</f>
        <v>Elek Város Önkormányzata</v>
      </c>
      <c r="C2" s="490"/>
      <c r="D2" s="490"/>
      <c r="E2" s="490"/>
      <c r="F2" s="490"/>
      <c r="G2" s="490"/>
      <c r="H2" s="490"/>
      <c r="I2" s="490"/>
      <c r="J2" s="490"/>
      <c r="K2" s="293" t="s">
        <v>519</v>
      </c>
    </row>
    <row r="3" spans="1:11" s="294" customFormat="1" ht="36.75" customHeight="1">
      <c r="A3" s="292" t="s">
        <v>520</v>
      </c>
      <c r="B3" s="491" t="s">
        <v>28</v>
      </c>
      <c r="C3" s="491"/>
      <c r="D3" s="491"/>
      <c r="E3" s="491"/>
      <c r="F3" s="491"/>
      <c r="G3" s="491"/>
      <c r="H3" s="491"/>
      <c r="I3" s="491"/>
      <c r="J3" s="491"/>
      <c r="K3" s="295" t="s">
        <v>521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03" t="str">
        <f>CONCATENATE('RM_1.1.sz.mell.'!C9:K9)</f>
        <v>Eredeti
előirányzat</v>
      </c>
      <c r="D5" s="304" t="str">
        <f>CONCATENATE('RM_1.1.sz.mell.'!D9)</f>
        <v>1. sz. módosítás </v>
      </c>
      <c r="E5" s="304" t="str">
        <f>CONCATENATE('RM_1.1.sz.mell.'!E9)</f>
        <v>2. sz. módosítás </v>
      </c>
      <c r="F5" s="304" t="str">
        <f>CONCATENATE('RM_1.1.sz.mell.'!F9)</f>
        <v>3. sz. módosítás </v>
      </c>
      <c r="G5" s="304" t="str">
        <f>CONCATENATE('RM_1.1.sz.mell.'!G9)</f>
        <v>4. sz. módosítás </v>
      </c>
      <c r="H5" s="304" t="str">
        <f>CONCATENATE('RM_1.1.sz.mell.'!H9)</f>
        <v>.5. sz. módosítás </v>
      </c>
      <c r="I5" s="304" t="str">
        <f>CONCATENATE('RM_1.1.sz.mell.'!I9)</f>
        <v>6. sz. módosítás </v>
      </c>
      <c r="J5" s="304" t="s">
        <v>126</v>
      </c>
      <c r="K5" s="305" t="s">
        <v>636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488" t="s">
        <v>403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</row>
    <row r="8" spans="1:11" s="311" customFormat="1" ht="12" customHeight="1">
      <c r="A8" s="110" t="s">
        <v>138</v>
      </c>
      <c r="B8" s="40" t="s">
        <v>139</v>
      </c>
      <c r="C8" s="41">
        <f>+C9+C10+C11+C12+C13+C14</f>
        <v>413947518</v>
      </c>
      <c r="D8" s="42">
        <f aca="true" t="shared" si="0" ref="D8:I8">+D9+D10+D11+D12+D13+D14</f>
        <v>1583166</v>
      </c>
      <c r="E8" s="42">
        <f t="shared" si="0"/>
        <v>32284099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33867265</v>
      </c>
      <c r="K8" s="41">
        <f>+K9+K10+K11+K12+K13+K14</f>
        <v>447814783</v>
      </c>
    </row>
    <row r="9" spans="1:11" s="314" customFormat="1" ht="12" customHeight="1">
      <c r="A9" s="312" t="s">
        <v>140</v>
      </c>
      <c r="B9" s="47" t="s">
        <v>141</v>
      </c>
      <c r="C9" s="48">
        <v>180621648</v>
      </c>
      <c r="D9" s="49">
        <v>175069</v>
      </c>
      <c r="E9" s="49">
        <v>1086626</v>
      </c>
      <c r="F9" s="49"/>
      <c r="G9" s="49"/>
      <c r="H9" s="49"/>
      <c r="I9" s="50"/>
      <c r="J9" s="51">
        <f>D9+E9+F9+G9+H9+I9</f>
        <v>1261695</v>
      </c>
      <c r="K9" s="313">
        <f aca="true" t="shared" si="1" ref="K9:K14">C9+J9</f>
        <v>181883343</v>
      </c>
    </row>
    <row r="10" spans="1:11" s="316" customFormat="1" ht="12" customHeight="1">
      <c r="A10" s="315" t="s">
        <v>142</v>
      </c>
      <c r="B10" s="54" t="s">
        <v>143</v>
      </c>
      <c r="C10" s="55">
        <v>91830668</v>
      </c>
      <c r="D10" s="56"/>
      <c r="E10" s="56">
        <v>-170908</v>
      </c>
      <c r="F10" s="56"/>
      <c r="G10" s="56"/>
      <c r="H10" s="56"/>
      <c r="I10" s="67"/>
      <c r="J10" s="51">
        <f aca="true" t="shared" si="2" ref="J10:J64">D10+E10+F10+G10+H10+I10</f>
        <v>-170908</v>
      </c>
      <c r="K10" s="313">
        <f t="shared" si="1"/>
        <v>91659760</v>
      </c>
    </row>
    <row r="11" spans="1:11" s="316" customFormat="1" ht="12" customHeight="1">
      <c r="A11" s="315" t="s">
        <v>144</v>
      </c>
      <c r="B11" s="54" t="s">
        <v>145</v>
      </c>
      <c r="C11" s="55">
        <v>135618232</v>
      </c>
      <c r="D11" s="56">
        <v>887307</v>
      </c>
      <c r="E11" s="56">
        <v>1050030</v>
      </c>
      <c r="F11" s="56"/>
      <c r="G11" s="56"/>
      <c r="H11" s="56"/>
      <c r="I11" s="67"/>
      <c r="J11" s="51">
        <f t="shared" si="2"/>
        <v>1937337</v>
      </c>
      <c r="K11" s="313">
        <f t="shared" si="1"/>
        <v>137555569</v>
      </c>
    </row>
    <row r="12" spans="1:11" s="316" customFormat="1" ht="12" customHeight="1">
      <c r="A12" s="315" t="s">
        <v>146</v>
      </c>
      <c r="B12" s="54" t="s">
        <v>147</v>
      </c>
      <c r="C12" s="55">
        <v>5876970</v>
      </c>
      <c r="D12" s="56">
        <v>150571</v>
      </c>
      <c r="E12" s="56">
        <v>150570</v>
      </c>
      <c r="F12" s="56"/>
      <c r="G12" s="56"/>
      <c r="H12" s="56"/>
      <c r="I12" s="67"/>
      <c r="J12" s="51">
        <f t="shared" si="2"/>
        <v>301141</v>
      </c>
      <c r="K12" s="313">
        <f t="shared" si="1"/>
        <v>6178111</v>
      </c>
    </row>
    <row r="13" spans="1:11" s="316" customFormat="1" ht="12" customHeight="1">
      <c r="A13" s="315" t="s">
        <v>148</v>
      </c>
      <c r="B13" s="54" t="s">
        <v>524</v>
      </c>
      <c r="C13" s="55"/>
      <c r="D13" s="56">
        <v>370219</v>
      </c>
      <c r="E13" s="56">
        <v>30167781</v>
      </c>
      <c r="F13" s="56"/>
      <c r="G13" s="56"/>
      <c r="H13" s="56"/>
      <c r="I13" s="67"/>
      <c r="J13" s="51">
        <f t="shared" si="2"/>
        <v>30538000</v>
      </c>
      <c r="K13" s="313">
        <f t="shared" si="1"/>
        <v>30538000</v>
      </c>
    </row>
    <row r="14" spans="1:11" s="314" customFormat="1" ht="12" customHeight="1">
      <c r="A14" s="317" t="s">
        <v>150</v>
      </c>
      <c r="B14" s="64" t="s">
        <v>151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1">
        <f>+C16+C17+C18+C19+C20</f>
        <v>22781887</v>
      </c>
      <c r="D15" s="42">
        <f aca="true" t="shared" si="3" ref="D15:K15">+D16+D17+D18+D19+D20</f>
        <v>159604947</v>
      </c>
      <c r="E15" s="42">
        <f t="shared" si="3"/>
        <v>5252240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164857187</v>
      </c>
      <c r="K15" s="41">
        <f t="shared" si="3"/>
        <v>187639074</v>
      </c>
    </row>
    <row r="16" spans="1:11" s="314" customFormat="1" ht="12" customHeight="1">
      <c r="A16" s="312" t="s">
        <v>154</v>
      </c>
      <c r="B16" s="47" t="s">
        <v>155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5">
        <v>22781887</v>
      </c>
      <c r="D20" s="56">
        <v>159604947</v>
      </c>
      <c r="E20" s="56">
        <v>5252240</v>
      </c>
      <c r="F20" s="56"/>
      <c r="G20" s="56"/>
      <c r="H20" s="56"/>
      <c r="I20" s="67"/>
      <c r="J20" s="83">
        <f t="shared" si="2"/>
        <v>164857187</v>
      </c>
      <c r="K20" s="318">
        <f t="shared" si="4"/>
        <v>187639074</v>
      </c>
    </row>
    <row r="21" spans="1:11" s="316" customFormat="1" ht="12" customHeight="1">
      <c r="A21" s="317" t="s">
        <v>164</v>
      </c>
      <c r="B21" s="64" t="s">
        <v>165</v>
      </c>
      <c r="C21" s="61">
        <v>3139296</v>
      </c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3139296</v>
      </c>
    </row>
    <row r="22" spans="1:11" s="316" customFormat="1" ht="12" customHeight="1">
      <c r="A22" s="110" t="s">
        <v>166</v>
      </c>
      <c r="B22" s="40" t="s">
        <v>167</v>
      </c>
      <c r="C22" s="41">
        <f>+C23+C24+C25+C26+C27</f>
        <v>8856290</v>
      </c>
      <c r="D22" s="42">
        <f aca="true" t="shared" si="5" ref="D22:K22">+D23+D24+D25+D26+D27</f>
        <v>51937034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51937034</v>
      </c>
      <c r="K22" s="41">
        <f t="shared" si="5"/>
        <v>60793324</v>
      </c>
    </row>
    <row r="23" spans="1:11" s="316" customFormat="1" ht="12" customHeight="1">
      <c r="A23" s="312" t="s">
        <v>168</v>
      </c>
      <c r="B23" s="47" t="s">
        <v>169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55">
        <v>8856290</v>
      </c>
      <c r="D27" s="56">
        <v>51937034</v>
      </c>
      <c r="E27" s="56"/>
      <c r="F27" s="56"/>
      <c r="G27" s="56"/>
      <c r="H27" s="56"/>
      <c r="I27" s="67"/>
      <c r="J27" s="83">
        <f t="shared" si="2"/>
        <v>51937034</v>
      </c>
      <c r="K27" s="318">
        <f t="shared" si="6"/>
        <v>60793324</v>
      </c>
    </row>
    <row r="28" spans="1:11" s="316" customFormat="1" ht="12" customHeight="1">
      <c r="A28" s="317" t="s">
        <v>178</v>
      </c>
      <c r="B28" s="64" t="s">
        <v>179</v>
      </c>
      <c r="C28" s="320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1">
        <f>SUM(C30:C36)</f>
        <v>60000000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60000000</v>
      </c>
    </row>
    <row r="30" spans="1:11" s="316" customFormat="1" ht="12" customHeight="1">
      <c r="A30" s="312" t="s">
        <v>182</v>
      </c>
      <c r="B30" s="47" t="s">
        <v>183</v>
      </c>
      <c r="C30" s="313">
        <v>4500000</v>
      </c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4500000</v>
      </c>
    </row>
    <row r="31" spans="1:11" s="316" customFormat="1" ht="12" customHeight="1">
      <c r="A31" s="315" t="s">
        <v>184</v>
      </c>
      <c r="B31" s="54" t="s">
        <v>185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55">
        <v>48000000</v>
      </c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48000000</v>
      </c>
    </row>
    <row r="33" spans="1:11" s="316" customFormat="1" ht="12" customHeight="1">
      <c r="A33" s="315" t="s">
        <v>188</v>
      </c>
      <c r="B33" s="54" t="s">
        <v>189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55">
        <v>7500000</v>
      </c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7500000</v>
      </c>
    </row>
    <row r="35" spans="1:11" s="316" customFormat="1" ht="12" customHeight="1">
      <c r="A35" s="315" t="s">
        <v>192</v>
      </c>
      <c r="B35" s="54" t="s">
        <v>193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1">
        <f>SUM(C38:C48)</f>
        <v>42009800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42009800</v>
      </c>
    </row>
    <row r="38" spans="1:11" s="316" customFormat="1" ht="12" customHeight="1">
      <c r="A38" s="312" t="s">
        <v>198</v>
      </c>
      <c r="B38" s="47" t="s">
        <v>199</v>
      </c>
      <c r="C38" s="48">
        <v>5500000</v>
      </c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5500000</v>
      </c>
    </row>
    <row r="39" spans="1:11" s="316" customFormat="1" ht="12" customHeight="1">
      <c r="A39" s="315" t="s">
        <v>200</v>
      </c>
      <c r="B39" s="54" t="s">
        <v>201</v>
      </c>
      <c r="C39" s="55">
        <v>5986000</v>
      </c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5986000</v>
      </c>
    </row>
    <row r="40" spans="1:11" s="316" customFormat="1" ht="12" customHeight="1">
      <c r="A40" s="315" t="s">
        <v>202</v>
      </c>
      <c r="B40" s="54" t="s">
        <v>203</v>
      </c>
      <c r="C40" s="55">
        <v>8300000</v>
      </c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8300000</v>
      </c>
    </row>
    <row r="41" spans="1:11" s="316" customFormat="1" ht="12" customHeight="1">
      <c r="A41" s="315" t="s">
        <v>204</v>
      </c>
      <c r="B41" s="54" t="s">
        <v>205</v>
      </c>
      <c r="C41" s="55">
        <v>14341000</v>
      </c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14341000</v>
      </c>
    </row>
    <row r="42" spans="1:11" s="316" customFormat="1" ht="12" customHeight="1">
      <c r="A42" s="315" t="s">
        <v>206</v>
      </c>
      <c r="B42" s="54" t="s">
        <v>207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55">
        <v>6882800</v>
      </c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6882800</v>
      </c>
    </row>
    <row r="44" spans="1:11" s="316" customFormat="1" ht="12" customHeight="1">
      <c r="A44" s="315" t="s">
        <v>210</v>
      </c>
      <c r="B44" s="54" t="s">
        <v>211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55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5">
        <v>1000000</v>
      </c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1000000</v>
      </c>
    </row>
    <row r="49" spans="1:11" s="316" customFormat="1" ht="12" customHeight="1">
      <c r="A49" s="110" t="s">
        <v>220</v>
      </c>
      <c r="B49" s="40" t="s">
        <v>221</v>
      </c>
      <c r="C49" s="41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1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1">
        <f>SUM(C61:C63)</f>
        <v>13000000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13000000</v>
      </c>
    </row>
    <row r="61" spans="1:11" s="316" customFormat="1" ht="12" customHeight="1">
      <c r="A61" s="312" t="s">
        <v>244</v>
      </c>
      <c r="B61" s="47" t="s">
        <v>245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55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55">
        <v>13000000</v>
      </c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13000000</v>
      </c>
    </row>
    <row r="64" spans="1:11" s="316" customFormat="1" ht="12" customHeight="1">
      <c r="A64" s="317" t="s">
        <v>250</v>
      </c>
      <c r="B64" s="64" t="s">
        <v>251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1">
        <f>+C8+C15+C22+C29+C37+C49+C55+C60</f>
        <v>560595495</v>
      </c>
      <c r="D65" s="42">
        <f aca="true" t="shared" si="14" ref="D65:K65">+D8+D15+D22+D29+D37+D49+D55+D60</f>
        <v>213125147</v>
      </c>
      <c r="E65" s="42">
        <f t="shared" si="14"/>
        <v>37536339</v>
      </c>
      <c r="F65" s="42">
        <f t="shared" si="14"/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250661486</v>
      </c>
      <c r="K65" s="41">
        <f t="shared" si="14"/>
        <v>811256981</v>
      </c>
    </row>
    <row r="66" spans="1:11" s="316" customFormat="1" ht="12" customHeight="1">
      <c r="A66" s="324" t="s">
        <v>526</v>
      </c>
      <c r="B66" s="60" t="s">
        <v>255</v>
      </c>
      <c r="C66" s="41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1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1">
        <f>SUM(C76:C77)</f>
        <v>241504542</v>
      </c>
      <c r="D75" s="43">
        <f aca="true" t="shared" si="17" ref="D75:K75">SUM(D76:D77)</f>
        <v>175497709</v>
      </c>
      <c r="E75" s="43">
        <f t="shared" si="17"/>
        <v>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175497709</v>
      </c>
      <c r="K75" s="41">
        <f t="shared" si="17"/>
        <v>417002251</v>
      </c>
    </row>
    <row r="76" spans="1:11" s="316" customFormat="1" ht="12" customHeight="1">
      <c r="A76" s="312" t="s">
        <v>274</v>
      </c>
      <c r="B76" s="47" t="s">
        <v>275</v>
      </c>
      <c r="C76" s="55">
        <v>241504542</v>
      </c>
      <c r="D76" s="67">
        <v>175497709</v>
      </c>
      <c r="E76" s="67"/>
      <c r="F76" s="67"/>
      <c r="G76" s="67"/>
      <c r="H76" s="67"/>
      <c r="I76" s="67"/>
      <c r="J76" s="83">
        <f>D76+E76+F76+G76+H76+I76</f>
        <v>175497709</v>
      </c>
      <c r="K76" s="318">
        <f>C76+J76</f>
        <v>417002251</v>
      </c>
    </row>
    <row r="77" spans="1:11" s="316" customFormat="1" ht="12" customHeight="1">
      <c r="A77" s="317" t="s">
        <v>276</v>
      </c>
      <c r="B77" s="64" t="s">
        <v>277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1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1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1">
        <f>+C66+C70+C75+C78+C82+C88+C87</f>
        <v>241504542</v>
      </c>
      <c r="D89" s="43">
        <f aca="true" t="shared" si="22" ref="D89:K89">+D66+D70+D75+D78+D82+D88+D87</f>
        <v>175497709</v>
      </c>
      <c r="E89" s="43">
        <f t="shared" si="22"/>
        <v>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175497709</v>
      </c>
      <c r="K89" s="41">
        <f t="shared" si="22"/>
        <v>417002251</v>
      </c>
    </row>
    <row r="90" spans="1:11" s="314" customFormat="1" ht="12" customHeight="1">
      <c r="A90" s="330" t="s">
        <v>530</v>
      </c>
      <c r="B90" s="92" t="s">
        <v>531</v>
      </c>
      <c r="C90" s="41">
        <f>+C65+C89</f>
        <v>802100037</v>
      </c>
      <c r="D90" s="43">
        <f aca="true" t="shared" si="23" ref="D90:K90">+D65+D89</f>
        <v>388622856</v>
      </c>
      <c r="E90" s="43">
        <f t="shared" si="23"/>
        <v>37536339</v>
      </c>
      <c r="F90" s="43">
        <f t="shared" si="23"/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426159195</v>
      </c>
      <c r="K90" s="41">
        <f t="shared" si="23"/>
        <v>1228259232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488" t="s">
        <v>404</v>
      </c>
      <c r="B92" s="488"/>
      <c r="C92" s="488"/>
      <c r="D92" s="488"/>
      <c r="E92" s="488"/>
      <c r="F92" s="488"/>
      <c r="G92" s="488"/>
      <c r="H92" s="488"/>
      <c r="I92" s="488"/>
      <c r="J92" s="488"/>
      <c r="K92" s="488"/>
    </row>
    <row r="93" spans="1:11" s="335" customFormat="1" ht="12" customHeight="1">
      <c r="A93" s="33" t="s">
        <v>138</v>
      </c>
      <c r="B93" s="113" t="s">
        <v>532</v>
      </c>
      <c r="C93" s="114">
        <f>+C94+C95+C96+C97+C98+C111</f>
        <v>247193877</v>
      </c>
      <c r="D93" s="334">
        <f aca="true" t="shared" si="24" ref="D93:K93">+D94+D95+D96+D97+D98+D111</f>
        <v>366647300</v>
      </c>
      <c r="E93" s="334">
        <f t="shared" si="24"/>
        <v>4877808</v>
      </c>
      <c r="F93" s="334">
        <f t="shared" si="24"/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371525108</v>
      </c>
      <c r="K93" s="114">
        <f t="shared" si="24"/>
        <v>618718985</v>
      </c>
    </row>
    <row r="94" spans="1:11" ht="12" customHeight="1">
      <c r="A94" s="336" t="s">
        <v>140</v>
      </c>
      <c r="B94" s="118" t="s">
        <v>308</v>
      </c>
      <c r="C94" s="93">
        <v>76788134</v>
      </c>
      <c r="D94" s="337">
        <v>128124987</v>
      </c>
      <c r="E94" s="337">
        <v>4513600</v>
      </c>
      <c r="F94" s="337"/>
      <c r="G94" s="337"/>
      <c r="H94" s="337"/>
      <c r="I94" s="119"/>
      <c r="J94" s="120">
        <f aca="true" t="shared" si="25" ref="J94:J113">D94+E94+F94+G94+H94+I94</f>
        <v>132638587</v>
      </c>
      <c r="K94" s="338">
        <f aca="true" t="shared" si="26" ref="K94:K113">C94+J94</f>
        <v>209426721</v>
      </c>
    </row>
    <row r="95" spans="1:11" ht="12" customHeight="1">
      <c r="A95" s="315" t="s">
        <v>142</v>
      </c>
      <c r="B95" s="122" t="s">
        <v>309</v>
      </c>
      <c r="C95" s="55">
        <v>11501230</v>
      </c>
      <c r="D95" s="67">
        <v>12547856</v>
      </c>
      <c r="E95" s="67">
        <v>790743</v>
      </c>
      <c r="F95" s="67"/>
      <c r="G95" s="67"/>
      <c r="H95" s="67"/>
      <c r="I95" s="67"/>
      <c r="J95" s="83">
        <f t="shared" si="25"/>
        <v>13338599</v>
      </c>
      <c r="K95" s="318">
        <f t="shared" si="26"/>
        <v>24839829</v>
      </c>
    </row>
    <row r="96" spans="1:11" ht="12" customHeight="1">
      <c r="A96" s="315" t="s">
        <v>144</v>
      </c>
      <c r="B96" s="122" t="s">
        <v>310</v>
      </c>
      <c r="C96" s="68">
        <v>101108015</v>
      </c>
      <c r="D96" s="69">
        <v>36330595</v>
      </c>
      <c r="E96" s="69"/>
      <c r="F96" s="69"/>
      <c r="G96" s="69"/>
      <c r="H96" s="67"/>
      <c r="I96" s="69"/>
      <c r="J96" s="123">
        <f t="shared" si="25"/>
        <v>36330595</v>
      </c>
      <c r="K96" s="319">
        <f t="shared" si="26"/>
        <v>137438610</v>
      </c>
    </row>
    <row r="97" spans="1:11" ht="12" customHeight="1">
      <c r="A97" s="315" t="s">
        <v>146</v>
      </c>
      <c r="B97" s="125" t="s">
        <v>311</v>
      </c>
      <c r="C97" s="68">
        <v>26630000</v>
      </c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26630000</v>
      </c>
    </row>
    <row r="98" spans="1:11" ht="12" customHeight="1">
      <c r="A98" s="315" t="s">
        <v>312</v>
      </c>
      <c r="B98" s="126" t="s">
        <v>313</v>
      </c>
      <c r="C98" s="68">
        <v>11166498</v>
      </c>
      <c r="D98" s="69">
        <v>5252601</v>
      </c>
      <c r="E98" s="69">
        <v>4000000</v>
      </c>
      <c r="F98" s="69"/>
      <c r="G98" s="69"/>
      <c r="H98" s="69"/>
      <c r="I98" s="69"/>
      <c r="J98" s="123">
        <f t="shared" si="25"/>
        <v>9252601</v>
      </c>
      <c r="K98" s="319">
        <f t="shared" si="26"/>
        <v>20419099</v>
      </c>
    </row>
    <row r="99" spans="1:11" ht="12" customHeight="1">
      <c r="A99" s="315" t="s">
        <v>150</v>
      </c>
      <c r="B99" s="122" t="s">
        <v>533</v>
      </c>
      <c r="C99" s="68">
        <v>5000000</v>
      </c>
      <c r="D99" s="69">
        <v>5252601</v>
      </c>
      <c r="E99" s="69"/>
      <c r="F99" s="69"/>
      <c r="G99" s="69"/>
      <c r="H99" s="69"/>
      <c r="I99" s="69"/>
      <c r="J99" s="123">
        <f t="shared" si="25"/>
        <v>5252601</v>
      </c>
      <c r="K99" s="319">
        <f t="shared" si="26"/>
        <v>10252601</v>
      </c>
    </row>
    <row r="100" spans="1:11" ht="12" customHeight="1">
      <c r="A100" s="315" t="s">
        <v>315</v>
      </c>
      <c r="B100" s="128" t="s">
        <v>316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8">
        <v>3170838</v>
      </c>
      <c r="D105" s="69"/>
      <c r="E105" s="69">
        <v>3000000</v>
      </c>
      <c r="F105" s="69"/>
      <c r="G105" s="69"/>
      <c r="H105" s="69"/>
      <c r="I105" s="69"/>
      <c r="J105" s="123">
        <f t="shared" si="25"/>
        <v>3000000</v>
      </c>
      <c r="K105" s="319">
        <f t="shared" si="26"/>
        <v>6170838</v>
      </c>
    </row>
    <row r="106" spans="1:11" ht="12" customHeight="1">
      <c r="A106" s="315" t="s">
        <v>327</v>
      </c>
      <c r="B106" s="128" t="s">
        <v>328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55">
        <v>2995660</v>
      </c>
      <c r="D110" s="67"/>
      <c r="E110" s="67">
        <v>1000000</v>
      </c>
      <c r="F110" s="67"/>
      <c r="G110" s="67"/>
      <c r="H110" s="67"/>
      <c r="I110" s="67"/>
      <c r="J110" s="83">
        <f t="shared" si="25"/>
        <v>1000000</v>
      </c>
      <c r="K110" s="318">
        <f t="shared" si="26"/>
        <v>3995660</v>
      </c>
    </row>
    <row r="111" spans="1:11" ht="12" customHeight="1">
      <c r="A111" s="315" t="s">
        <v>337</v>
      </c>
      <c r="B111" s="125" t="s">
        <v>338</v>
      </c>
      <c r="C111" s="55">
        <f>SUM(C112:C113)</f>
        <v>20000000</v>
      </c>
      <c r="D111" s="67">
        <f>SUM(D112:D113)</f>
        <v>184391261</v>
      </c>
      <c r="E111" s="67">
        <f>SUM(E112:E113)</f>
        <v>-4426535</v>
      </c>
      <c r="F111" s="67"/>
      <c r="G111" s="67"/>
      <c r="H111" s="67"/>
      <c r="I111" s="67"/>
      <c r="J111" s="83">
        <f t="shared" si="25"/>
        <v>179964726</v>
      </c>
      <c r="K111" s="318">
        <f t="shared" si="26"/>
        <v>199964726</v>
      </c>
    </row>
    <row r="112" spans="1:11" ht="12" customHeight="1">
      <c r="A112" s="317" t="s">
        <v>339</v>
      </c>
      <c r="B112" s="122" t="s">
        <v>534</v>
      </c>
      <c r="C112" s="68">
        <v>17647000</v>
      </c>
      <c r="D112" s="69">
        <v>168881420</v>
      </c>
      <c r="E112" s="69">
        <v>-4426535</v>
      </c>
      <c r="F112" s="69"/>
      <c r="G112" s="69"/>
      <c r="H112" s="69"/>
      <c r="I112" s="69"/>
      <c r="J112" s="123">
        <f t="shared" si="25"/>
        <v>164454885</v>
      </c>
      <c r="K112" s="319">
        <f t="shared" si="26"/>
        <v>182101885</v>
      </c>
    </row>
    <row r="113" spans="1:11" ht="12" customHeight="1">
      <c r="A113" s="321" t="s">
        <v>341</v>
      </c>
      <c r="B113" s="340" t="s">
        <v>535</v>
      </c>
      <c r="C113" s="72">
        <v>2353000</v>
      </c>
      <c r="D113" s="74">
        <v>15509841</v>
      </c>
      <c r="E113" s="74"/>
      <c r="F113" s="74"/>
      <c r="G113" s="74"/>
      <c r="H113" s="74"/>
      <c r="I113" s="74"/>
      <c r="J113" s="75">
        <f t="shared" si="25"/>
        <v>15509841</v>
      </c>
      <c r="K113" s="323">
        <f t="shared" si="26"/>
        <v>17862841</v>
      </c>
    </row>
    <row r="114" spans="1:11" ht="12" customHeight="1">
      <c r="A114" s="110" t="s">
        <v>152</v>
      </c>
      <c r="B114" s="164" t="s">
        <v>343</v>
      </c>
      <c r="C114" s="41">
        <f>+C115+C117+C119</f>
        <v>189775694</v>
      </c>
      <c r="D114" s="43">
        <f aca="true" t="shared" si="27" ref="D114:K114">+D115+D117+D119</f>
        <v>19418442</v>
      </c>
      <c r="E114" s="43">
        <f t="shared" si="27"/>
        <v>25212969</v>
      </c>
      <c r="F114" s="43">
        <f t="shared" si="27"/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44631411</v>
      </c>
      <c r="K114" s="41">
        <f t="shared" si="27"/>
        <v>234407105</v>
      </c>
    </row>
    <row r="115" spans="1:11" ht="12" customHeight="1">
      <c r="A115" s="312" t="s">
        <v>154</v>
      </c>
      <c r="B115" s="122" t="s">
        <v>344</v>
      </c>
      <c r="C115" s="48">
        <v>27211862</v>
      </c>
      <c r="D115" s="50">
        <v>19418442</v>
      </c>
      <c r="E115" s="50">
        <v>-983738</v>
      </c>
      <c r="F115" s="50"/>
      <c r="G115" s="50"/>
      <c r="H115" s="50"/>
      <c r="I115" s="50"/>
      <c r="J115" s="51">
        <f aca="true" t="shared" si="28" ref="J115:J127">D115+E115+F115+G115+H115+I115</f>
        <v>18434704</v>
      </c>
      <c r="K115" s="313">
        <f aca="true" t="shared" si="29" ref="K115:K127">C115+J115</f>
        <v>45646566</v>
      </c>
    </row>
    <row r="116" spans="1:11" ht="12" customHeight="1">
      <c r="A116" s="312" t="s">
        <v>156</v>
      </c>
      <c r="B116" s="133" t="s">
        <v>345</v>
      </c>
      <c r="C116" s="134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55">
        <v>155763832</v>
      </c>
      <c r="D117" s="67"/>
      <c r="E117" s="67">
        <v>25846707</v>
      </c>
      <c r="F117" s="67"/>
      <c r="G117" s="67"/>
      <c r="H117" s="67"/>
      <c r="I117" s="67"/>
      <c r="J117" s="83">
        <f t="shared" si="28"/>
        <v>25846707</v>
      </c>
      <c r="K117" s="318">
        <f t="shared" si="29"/>
        <v>181610539</v>
      </c>
    </row>
    <row r="118" spans="1:11" ht="12" customHeight="1">
      <c r="A118" s="312" t="s">
        <v>160</v>
      </c>
      <c r="B118" s="133" t="s">
        <v>347</v>
      </c>
      <c r="C118" s="135">
        <v>120091212</v>
      </c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120091212</v>
      </c>
    </row>
    <row r="119" spans="1:11" ht="12" customHeight="1">
      <c r="A119" s="312" t="s">
        <v>162</v>
      </c>
      <c r="B119" s="59" t="s">
        <v>348</v>
      </c>
      <c r="C119" s="136">
        <v>6800000</v>
      </c>
      <c r="D119" s="67"/>
      <c r="E119" s="67">
        <v>350000</v>
      </c>
      <c r="F119" s="67"/>
      <c r="G119" s="67"/>
      <c r="H119" s="67"/>
      <c r="I119" s="67"/>
      <c r="J119" s="83">
        <f t="shared" si="28"/>
        <v>350000</v>
      </c>
      <c r="K119" s="318">
        <f t="shared" si="29"/>
        <v>7150000</v>
      </c>
    </row>
    <row r="120" spans="1:11" ht="12" customHeight="1">
      <c r="A120" s="312" t="s">
        <v>164</v>
      </c>
      <c r="B120" s="57" t="s">
        <v>349</v>
      </c>
      <c r="C120" s="136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136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136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136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136"/>
      <c r="D125" s="67"/>
      <c r="E125" s="67">
        <v>350000</v>
      </c>
      <c r="F125" s="67"/>
      <c r="G125" s="67"/>
      <c r="H125" s="67"/>
      <c r="I125" s="67"/>
      <c r="J125" s="83">
        <f t="shared" si="28"/>
        <v>350000</v>
      </c>
      <c r="K125" s="318">
        <f t="shared" si="29"/>
        <v>350000</v>
      </c>
    </row>
    <row r="126" spans="1:11" ht="12" customHeight="1">
      <c r="A126" s="312" t="s">
        <v>358</v>
      </c>
      <c r="B126" s="129" t="s">
        <v>359</v>
      </c>
      <c r="C126" s="136">
        <v>3000000</v>
      </c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3000000</v>
      </c>
    </row>
    <row r="127" spans="1:11" ht="12" customHeight="1">
      <c r="A127" s="339" t="s">
        <v>360</v>
      </c>
      <c r="B127" s="129" t="s">
        <v>361</v>
      </c>
      <c r="C127" s="138">
        <v>3800000</v>
      </c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3800000</v>
      </c>
    </row>
    <row r="128" spans="1:11" ht="12" customHeight="1">
      <c r="A128" s="110" t="s">
        <v>166</v>
      </c>
      <c r="B128" s="40" t="s">
        <v>362</v>
      </c>
      <c r="C128" s="41">
        <f>+C93+C114</f>
        <v>436969571</v>
      </c>
      <c r="D128" s="43">
        <f aca="true" t="shared" si="30" ref="D128:K128">+D93+D114</f>
        <v>386065742</v>
      </c>
      <c r="E128" s="43">
        <f t="shared" si="30"/>
        <v>30090777</v>
      </c>
      <c r="F128" s="43">
        <f t="shared" si="30"/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416156519</v>
      </c>
      <c r="K128" s="41">
        <f t="shared" si="30"/>
        <v>853126090</v>
      </c>
    </row>
    <row r="129" spans="1:11" ht="12" customHeight="1">
      <c r="A129" s="110" t="s">
        <v>363</v>
      </c>
      <c r="B129" s="40" t="s">
        <v>536</v>
      </c>
      <c r="C129" s="41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1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136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136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136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136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136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136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1">
        <f>+C141+C142+C144+C145+C143</f>
        <v>365130466</v>
      </c>
      <c r="D140" s="43">
        <f aca="true" t="shared" si="35" ref="D140:K140">+D141+D142+D144+D145+D143</f>
        <v>2557114</v>
      </c>
      <c r="E140" s="43">
        <f t="shared" si="35"/>
        <v>7445562</v>
      </c>
      <c r="F140" s="43">
        <f t="shared" si="35"/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10002676</v>
      </c>
      <c r="K140" s="41">
        <f t="shared" si="35"/>
        <v>375133142</v>
      </c>
      <c r="Q140" s="341"/>
    </row>
    <row r="141" spans="1:11" ht="12.75">
      <c r="A141" s="312" t="s">
        <v>222</v>
      </c>
      <c r="B141" s="139" t="s">
        <v>376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136">
        <v>15390031</v>
      </c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15390031</v>
      </c>
    </row>
    <row r="143" spans="1:11" ht="12" customHeight="1">
      <c r="A143" s="312" t="s">
        <v>226</v>
      </c>
      <c r="B143" s="139" t="s">
        <v>541</v>
      </c>
      <c r="C143" s="136">
        <v>349740435</v>
      </c>
      <c r="D143" s="67">
        <v>2557114</v>
      </c>
      <c r="E143" s="67">
        <v>7445562</v>
      </c>
      <c r="F143" s="67"/>
      <c r="G143" s="67"/>
      <c r="H143" s="67"/>
      <c r="I143" s="67"/>
      <c r="J143" s="83">
        <f>D143+E143+F143+G143+H143+I143</f>
        <v>10002676</v>
      </c>
      <c r="K143" s="318">
        <f>C143+J143</f>
        <v>359743111</v>
      </c>
    </row>
    <row r="144" spans="1:11" s="335" customFormat="1" ht="12" customHeight="1">
      <c r="A144" s="312" t="s">
        <v>228</v>
      </c>
      <c r="B144" s="139" t="s">
        <v>378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2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136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136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136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136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138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2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2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343">
        <f>+C129+C133+C140+C146+C152+C153</f>
        <v>365130466</v>
      </c>
      <c r="D154" s="154">
        <f aca="true" t="shared" si="39" ref="D154:K154">+D129+D133+D140+D146+D152+D153</f>
        <v>2557114</v>
      </c>
      <c r="E154" s="154">
        <f t="shared" si="39"/>
        <v>7445562</v>
      </c>
      <c r="F154" s="154">
        <f t="shared" si="39"/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10002676</v>
      </c>
      <c r="K154" s="343">
        <f t="shared" si="39"/>
        <v>375133142</v>
      </c>
    </row>
    <row r="155" spans="1:11" ht="15" customHeight="1">
      <c r="A155" s="344" t="s">
        <v>393</v>
      </c>
      <c r="B155" s="159" t="s">
        <v>394</v>
      </c>
      <c r="C155" s="343">
        <f>+C128+C154</f>
        <v>802100037</v>
      </c>
      <c r="D155" s="154">
        <f aca="true" t="shared" si="40" ref="D155:K155">+D128+D154</f>
        <v>388622856</v>
      </c>
      <c r="E155" s="154">
        <f t="shared" si="40"/>
        <v>37536339</v>
      </c>
      <c r="F155" s="154">
        <f t="shared" si="40"/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426159195</v>
      </c>
      <c r="K155" s="343">
        <f t="shared" si="40"/>
        <v>1228259232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1">
        <v>8</v>
      </c>
      <c r="D157" s="352">
        <v>0</v>
      </c>
      <c r="E157" s="352">
        <v>3</v>
      </c>
      <c r="F157" s="352"/>
      <c r="G157" s="352"/>
      <c r="H157" s="352"/>
      <c r="I157" s="353"/>
      <c r="J157" s="354">
        <f>D157+E157+F157+G157+H157+I157</f>
        <v>3</v>
      </c>
      <c r="K157" s="142">
        <f>C157+J157</f>
        <v>11</v>
      </c>
    </row>
    <row r="158" spans="1:11" ht="14.25" customHeight="1">
      <c r="A158" s="349" t="s">
        <v>544</v>
      </c>
      <c r="B158" s="350"/>
      <c r="C158" s="355">
        <v>51</v>
      </c>
      <c r="D158" s="356">
        <v>110</v>
      </c>
      <c r="E158" s="352">
        <v>0</v>
      </c>
      <c r="F158" s="352"/>
      <c r="G158" s="352"/>
      <c r="H158" s="352"/>
      <c r="I158" s="353"/>
      <c r="J158" s="354">
        <f>D158+E158+F158+G158+H158+I158</f>
        <v>110</v>
      </c>
      <c r="K158" s="142">
        <f>C158+J158</f>
        <v>161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97">
      <selection activeCell="E109" sqref="E109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489" t="str">
        <f>CONCATENATE("5.1.1. melléklet ",RM_ALAPADATOK!A7," ",RM_ALAPADATOK!B7," ",RM_ALAPADATOK!C7," ",RM_ALAPADATOK!D7," ",RM_ALAPADATOK!E7," ",RM_ALAPADATOK!F7," ",RM_ALAPADATOK!G7," ",RM_ALAPADATOK!H7)</f>
        <v>5.1.1. melléklet a  / 2019 (  ) önkormányzati rendelethez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294" customFormat="1" ht="21" customHeight="1">
      <c r="A2" s="292" t="s">
        <v>405</v>
      </c>
      <c r="B2" s="490" t="str">
        <f>CONCATENATE(RM_ALAPADATOK!A3)</f>
        <v>Elek Város Önkormányzata</v>
      </c>
      <c r="C2" s="490"/>
      <c r="D2" s="490"/>
      <c r="E2" s="490"/>
      <c r="F2" s="490"/>
      <c r="G2" s="490"/>
      <c r="H2" s="490"/>
      <c r="I2" s="490"/>
      <c r="J2" s="490"/>
      <c r="K2" s="293" t="s">
        <v>521</v>
      </c>
    </row>
    <row r="3" spans="1:11" s="294" customFormat="1" ht="36.75" customHeight="1">
      <c r="A3" s="292" t="s">
        <v>520</v>
      </c>
      <c r="B3" s="491" t="s">
        <v>30</v>
      </c>
      <c r="C3" s="491"/>
      <c r="D3" s="491"/>
      <c r="E3" s="491"/>
      <c r="F3" s="491"/>
      <c r="G3" s="491"/>
      <c r="H3" s="491"/>
      <c r="I3" s="491"/>
      <c r="J3" s="491"/>
      <c r="K3" s="295" t="s">
        <v>545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57" t="str">
        <f>CONCATENATE('RM_1.1.sz.mell.'!C9:K9)</f>
        <v>Eredeti
előirányzat</v>
      </c>
      <c r="D5" s="358" t="str">
        <f>CONCATENATE('RM_1.1.sz.mell.'!D9)</f>
        <v>1. sz. módosítás </v>
      </c>
      <c r="E5" s="358" t="str">
        <f>CONCATENATE('RM_1.1.sz.mell.'!E9)</f>
        <v>2. sz. módosítás </v>
      </c>
      <c r="F5" s="358" t="str">
        <f>CONCATENATE('RM_1.1.sz.mell.'!F9)</f>
        <v>3. sz. módosítás </v>
      </c>
      <c r="G5" s="358" t="str">
        <f>CONCATENATE('RM_1.1.sz.mell.'!G9)</f>
        <v>4. sz. módosítás </v>
      </c>
      <c r="H5" s="358" t="str">
        <f>CONCATENATE('RM_1.1.sz.mell.'!H9)</f>
        <v>.5. sz. módosítás </v>
      </c>
      <c r="I5" s="358" t="str">
        <f>CONCATENATE('RM_1.1.sz.mell.'!I9)</f>
        <v>6. sz. módosítás </v>
      </c>
      <c r="J5" s="358" t="s">
        <v>126</v>
      </c>
      <c r="K5" s="359" t="str">
        <f>CONCATENATE('RM_5.1.sz.mell'!K5)</f>
        <v>2.számú módosítás utáni előirányzat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488" t="s">
        <v>403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</row>
    <row r="8" spans="1:11" s="311" customFormat="1" ht="12" customHeight="1">
      <c r="A8" s="110" t="s">
        <v>138</v>
      </c>
      <c r="B8" s="40" t="s">
        <v>139</v>
      </c>
      <c r="C8" s="41">
        <f aca="true" t="shared" si="0" ref="C8:K8">+C9+C10+C11+C12+C13+C14</f>
        <v>413947518</v>
      </c>
      <c r="D8" s="42">
        <f t="shared" si="0"/>
        <v>1583166</v>
      </c>
      <c r="E8" s="42">
        <f t="shared" si="0"/>
        <v>32284099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 t="shared" si="0"/>
        <v>33867265</v>
      </c>
      <c r="K8" s="41">
        <f t="shared" si="0"/>
        <v>447814783</v>
      </c>
    </row>
    <row r="9" spans="1:11" s="314" customFormat="1" ht="12" customHeight="1">
      <c r="A9" s="312" t="s">
        <v>140</v>
      </c>
      <c r="B9" s="47" t="s">
        <v>141</v>
      </c>
      <c r="C9" s="48">
        <v>180621648</v>
      </c>
      <c r="D9" s="49">
        <v>175069</v>
      </c>
      <c r="E9" s="49">
        <v>1086626</v>
      </c>
      <c r="F9" s="49"/>
      <c r="G9" s="49"/>
      <c r="H9" s="49"/>
      <c r="I9" s="50"/>
      <c r="J9" s="51">
        <f>D9+E9+F9+G9+H9+I9</f>
        <v>1261695</v>
      </c>
      <c r="K9" s="313">
        <f aca="true" t="shared" si="1" ref="K9:K14">C9+J9</f>
        <v>181883343</v>
      </c>
    </row>
    <row r="10" spans="1:11" s="316" customFormat="1" ht="12" customHeight="1">
      <c r="A10" s="315" t="s">
        <v>142</v>
      </c>
      <c r="B10" s="54" t="s">
        <v>143</v>
      </c>
      <c r="C10" s="55">
        <v>91830668</v>
      </c>
      <c r="D10" s="56"/>
      <c r="E10" s="56">
        <v>-170908</v>
      </c>
      <c r="F10" s="56"/>
      <c r="G10" s="56"/>
      <c r="H10" s="56"/>
      <c r="I10" s="67"/>
      <c r="J10" s="51">
        <f aca="true" t="shared" si="2" ref="J10:J64">D10+E10+F10+G10+H10+I10</f>
        <v>-170908</v>
      </c>
      <c r="K10" s="313">
        <f t="shared" si="1"/>
        <v>91659760</v>
      </c>
    </row>
    <row r="11" spans="1:11" s="316" customFormat="1" ht="12" customHeight="1">
      <c r="A11" s="315" t="s">
        <v>144</v>
      </c>
      <c r="B11" s="54" t="s">
        <v>145</v>
      </c>
      <c r="C11" s="55">
        <v>135618232</v>
      </c>
      <c r="D11" s="56">
        <v>887307</v>
      </c>
      <c r="E11" s="56">
        <v>1050030</v>
      </c>
      <c r="F11" s="56"/>
      <c r="G11" s="56"/>
      <c r="H11" s="56"/>
      <c r="I11" s="67"/>
      <c r="J11" s="51">
        <f t="shared" si="2"/>
        <v>1937337</v>
      </c>
      <c r="K11" s="313">
        <f t="shared" si="1"/>
        <v>137555569</v>
      </c>
    </row>
    <row r="12" spans="1:11" s="316" customFormat="1" ht="12" customHeight="1">
      <c r="A12" s="315" t="s">
        <v>146</v>
      </c>
      <c r="B12" s="54" t="s">
        <v>147</v>
      </c>
      <c r="C12" s="55">
        <v>5876970</v>
      </c>
      <c r="D12" s="56">
        <v>150571</v>
      </c>
      <c r="E12" s="56">
        <v>150570</v>
      </c>
      <c r="F12" s="56"/>
      <c r="G12" s="56"/>
      <c r="H12" s="56"/>
      <c r="I12" s="67"/>
      <c r="J12" s="51">
        <f t="shared" si="2"/>
        <v>301141</v>
      </c>
      <c r="K12" s="313">
        <f t="shared" si="1"/>
        <v>6178111</v>
      </c>
    </row>
    <row r="13" spans="1:11" s="316" customFormat="1" ht="12" customHeight="1">
      <c r="A13" s="315" t="s">
        <v>148</v>
      </c>
      <c r="B13" s="54" t="s">
        <v>524</v>
      </c>
      <c r="C13" s="55"/>
      <c r="D13" s="56">
        <v>370219</v>
      </c>
      <c r="E13" s="56">
        <v>30167781</v>
      </c>
      <c r="F13" s="56"/>
      <c r="G13" s="56"/>
      <c r="H13" s="56"/>
      <c r="I13" s="67"/>
      <c r="J13" s="51">
        <f t="shared" si="2"/>
        <v>30538000</v>
      </c>
      <c r="K13" s="313">
        <f t="shared" si="1"/>
        <v>30538000</v>
      </c>
    </row>
    <row r="14" spans="1:11" s="314" customFormat="1" ht="12" customHeight="1">
      <c r="A14" s="317" t="s">
        <v>150</v>
      </c>
      <c r="B14" s="64" t="s">
        <v>151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1">
        <f>+C16+C17+C18+C19+C20</f>
        <v>19042591</v>
      </c>
      <c r="D15" s="42">
        <f>+D16+D17+D18+D19+D20</f>
        <v>155098410</v>
      </c>
      <c r="E15" s="42">
        <f>+E16+E17+E18+E19+E20</f>
        <v>5252240</v>
      </c>
      <c r="F15" s="42">
        <f aca="true" t="shared" si="3" ref="F15:K15">+F16+F17+F18+F19+F20</f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160350650</v>
      </c>
      <c r="K15" s="41">
        <f t="shared" si="3"/>
        <v>179393241</v>
      </c>
    </row>
    <row r="16" spans="1:11" s="314" customFormat="1" ht="12" customHeight="1">
      <c r="A16" s="312" t="s">
        <v>154</v>
      </c>
      <c r="B16" s="47" t="s">
        <v>155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5">
        <v>19042591</v>
      </c>
      <c r="D20" s="56">
        <v>155098410</v>
      </c>
      <c r="E20" s="56">
        <v>5252240</v>
      </c>
      <c r="F20" s="56"/>
      <c r="G20" s="56"/>
      <c r="H20" s="56"/>
      <c r="I20" s="67"/>
      <c r="J20" s="83">
        <f t="shared" si="2"/>
        <v>160350650</v>
      </c>
      <c r="K20" s="318">
        <f t="shared" si="4"/>
        <v>179393241</v>
      </c>
    </row>
    <row r="21" spans="1:11" s="316" customFormat="1" ht="12" customHeight="1">
      <c r="A21" s="317" t="s">
        <v>164</v>
      </c>
      <c r="B21" s="64" t="s">
        <v>165</v>
      </c>
      <c r="C21" s="61"/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0</v>
      </c>
    </row>
    <row r="22" spans="1:11" s="316" customFormat="1" ht="12" customHeight="1">
      <c r="A22" s="110" t="s">
        <v>166</v>
      </c>
      <c r="B22" s="40" t="s">
        <v>167</v>
      </c>
      <c r="C22" s="41">
        <f>+C23+C24+C25+C26+C27</f>
        <v>8856290</v>
      </c>
      <c r="D22" s="42">
        <f>+D23+D24+D25+D26+D27</f>
        <v>33259040</v>
      </c>
      <c r="E22" s="42">
        <f>+E23+E24+E25+E26+E27</f>
        <v>0</v>
      </c>
      <c r="F22" s="42">
        <f aca="true" t="shared" si="5" ref="F22:K22">+F23+F24+F25+F26+F27</f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33259040</v>
      </c>
      <c r="K22" s="41">
        <f t="shared" si="5"/>
        <v>42115330</v>
      </c>
    </row>
    <row r="23" spans="1:11" s="316" customFormat="1" ht="12" customHeight="1">
      <c r="A23" s="312" t="s">
        <v>168</v>
      </c>
      <c r="B23" s="47" t="s">
        <v>169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55">
        <v>8856290</v>
      </c>
      <c r="D27" s="56">
        <v>33259040</v>
      </c>
      <c r="E27" s="56"/>
      <c r="F27" s="56"/>
      <c r="G27" s="56"/>
      <c r="H27" s="56"/>
      <c r="I27" s="67"/>
      <c r="J27" s="83">
        <f t="shared" si="2"/>
        <v>33259040</v>
      </c>
      <c r="K27" s="318">
        <f t="shared" si="6"/>
        <v>42115330</v>
      </c>
    </row>
    <row r="28" spans="1:11" s="316" customFormat="1" ht="12" customHeight="1">
      <c r="A28" s="317" t="s">
        <v>178</v>
      </c>
      <c r="B28" s="64" t="s">
        <v>179</v>
      </c>
      <c r="C28" s="320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1">
        <f>SUM(C30:C36)</f>
        <v>60000000</v>
      </c>
      <c r="D29" s="43">
        <f>+D30+D31+D32+D33+D34+D35+D36</f>
        <v>0</v>
      </c>
      <c r="E29" s="43">
        <f>+E30+E31+E32+E33+E34+E35+E36</f>
        <v>0</v>
      </c>
      <c r="F29" s="43">
        <f aca="true" t="shared" si="7" ref="F29:K29">+F30+F31+F32+F33+F34+F35+F36</f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60000000</v>
      </c>
    </row>
    <row r="30" spans="1:11" s="316" customFormat="1" ht="12" customHeight="1">
      <c r="A30" s="312" t="s">
        <v>182</v>
      </c>
      <c r="B30" s="47" t="s">
        <v>183</v>
      </c>
      <c r="C30" s="313">
        <v>4500000</v>
      </c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4500000</v>
      </c>
    </row>
    <row r="31" spans="1:11" s="316" customFormat="1" ht="12" customHeight="1">
      <c r="A31" s="315" t="s">
        <v>184</v>
      </c>
      <c r="B31" s="54" t="s">
        <v>185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55">
        <v>48000000</v>
      </c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48000000</v>
      </c>
    </row>
    <row r="33" spans="1:11" s="316" customFormat="1" ht="12" customHeight="1">
      <c r="A33" s="315" t="s">
        <v>188</v>
      </c>
      <c r="B33" s="54" t="s">
        <v>189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55">
        <v>7500000</v>
      </c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7500000</v>
      </c>
    </row>
    <row r="35" spans="1:11" s="316" customFormat="1" ht="12" customHeight="1">
      <c r="A35" s="315" t="s">
        <v>192</v>
      </c>
      <c r="B35" s="54" t="s">
        <v>193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1">
        <f>SUM(C38:C48)</f>
        <v>37493800</v>
      </c>
      <c r="D37" s="42">
        <f>SUM(D38:D48)</f>
        <v>0</v>
      </c>
      <c r="E37" s="42">
        <f>SUM(E38:E48)</f>
        <v>0</v>
      </c>
      <c r="F37" s="42">
        <f aca="true" t="shared" si="9" ref="F37:K37">SUM(F38:F48)</f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37493800</v>
      </c>
    </row>
    <row r="38" spans="1:11" s="316" customFormat="1" ht="12" customHeight="1">
      <c r="A38" s="312" t="s">
        <v>198</v>
      </c>
      <c r="B38" s="47" t="s">
        <v>199</v>
      </c>
      <c r="C38" s="48">
        <v>2000000</v>
      </c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2000000</v>
      </c>
    </row>
    <row r="39" spans="1:11" s="316" customFormat="1" ht="12" customHeight="1">
      <c r="A39" s="315" t="s">
        <v>200</v>
      </c>
      <c r="B39" s="54" t="s">
        <v>201</v>
      </c>
      <c r="C39" s="55">
        <v>5986000</v>
      </c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5986000</v>
      </c>
    </row>
    <row r="40" spans="1:11" s="316" customFormat="1" ht="12" customHeight="1">
      <c r="A40" s="315" t="s">
        <v>202</v>
      </c>
      <c r="B40" s="54" t="s">
        <v>203</v>
      </c>
      <c r="C40" s="55">
        <v>8300000</v>
      </c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8300000</v>
      </c>
    </row>
    <row r="41" spans="1:11" s="316" customFormat="1" ht="12" customHeight="1">
      <c r="A41" s="315" t="s">
        <v>204</v>
      </c>
      <c r="B41" s="54" t="s">
        <v>205</v>
      </c>
      <c r="C41" s="55">
        <v>13541000</v>
      </c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13541000</v>
      </c>
    </row>
    <row r="42" spans="1:11" s="316" customFormat="1" ht="12" customHeight="1">
      <c r="A42" s="315" t="s">
        <v>206</v>
      </c>
      <c r="B42" s="54" t="s">
        <v>207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55">
        <v>6666800</v>
      </c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6666800</v>
      </c>
    </row>
    <row r="44" spans="1:11" s="316" customFormat="1" ht="12" customHeight="1">
      <c r="A44" s="315" t="s">
        <v>210</v>
      </c>
      <c r="B44" s="54" t="s">
        <v>211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55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5">
        <v>1000000</v>
      </c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1000000</v>
      </c>
    </row>
    <row r="49" spans="1:11" s="316" customFormat="1" ht="12" customHeight="1">
      <c r="A49" s="110" t="s">
        <v>220</v>
      </c>
      <c r="B49" s="40" t="s">
        <v>221</v>
      </c>
      <c r="C49" s="41">
        <f>SUM(C50:C54)</f>
        <v>0</v>
      </c>
      <c r="D49" s="42">
        <f>SUM(D50:D54)</f>
        <v>0</v>
      </c>
      <c r="E49" s="42">
        <f>SUM(E50:E54)</f>
        <v>0</v>
      </c>
      <c r="F49" s="42">
        <f aca="true" t="shared" si="11" ref="F49:K49">SUM(F50:F54)</f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1">
        <f>SUM(C56:C58)</f>
        <v>0</v>
      </c>
      <c r="D55" s="42">
        <f>SUM(D56:D58)</f>
        <v>0</v>
      </c>
      <c r="E55" s="42">
        <f>SUM(E56:E58)</f>
        <v>0</v>
      </c>
      <c r="F55" s="42">
        <f aca="true" t="shared" si="12" ref="F55:K55">SUM(F56:F58)</f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1">
        <f>SUM(C61:C63)</f>
        <v>13000000</v>
      </c>
      <c r="D60" s="42">
        <f>SUM(D61:D63)</f>
        <v>0</v>
      </c>
      <c r="E60" s="42">
        <f>SUM(E61:E63)</f>
        <v>0</v>
      </c>
      <c r="F60" s="42">
        <f aca="true" t="shared" si="13" ref="F60:K60">SUM(F61:F63)</f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13000000</v>
      </c>
    </row>
    <row r="61" spans="1:11" s="316" customFormat="1" ht="12" customHeight="1">
      <c r="A61" s="312" t="s">
        <v>244</v>
      </c>
      <c r="B61" s="47" t="s">
        <v>245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55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55">
        <v>13000000</v>
      </c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13000000</v>
      </c>
    </row>
    <row r="64" spans="1:11" s="316" customFormat="1" ht="12" customHeight="1">
      <c r="A64" s="317" t="s">
        <v>250</v>
      </c>
      <c r="B64" s="64" t="s">
        <v>251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1">
        <f>+C8+C15+C22+C29+C37+C49+C55+C60</f>
        <v>552340199</v>
      </c>
      <c r="D65" s="42">
        <f>+D8+D15+D22+D29+D37+D49+D55+D60</f>
        <v>189940616</v>
      </c>
      <c r="E65" s="42">
        <f>+E8+E15+E22+E29+E37+E49+E55+E60</f>
        <v>37536339</v>
      </c>
      <c r="F65" s="42">
        <f aca="true" t="shared" si="14" ref="F65:K65">+F8+F15+F22+F29+F37+F49+F55+F60</f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227476955</v>
      </c>
      <c r="K65" s="41">
        <f t="shared" si="14"/>
        <v>779817154</v>
      </c>
    </row>
    <row r="66" spans="1:11" s="316" customFormat="1" ht="12" customHeight="1">
      <c r="A66" s="324" t="s">
        <v>526</v>
      </c>
      <c r="B66" s="60" t="s">
        <v>255</v>
      </c>
      <c r="C66" s="41">
        <f>SUM(C67:C69)</f>
        <v>0</v>
      </c>
      <c r="D66" s="42">
        <f>SUM(D67:D69)</f>
        <v>0</v>
      </c>
      <c r="E66" s="42">
        <f>SUM(E67:E69)</f>
        <v>0</v>
      </c>
      <c r="F66" s="42">
        <f aca="true" t="shared" si="15" ref="F66:K66">SUM(F67:F69)</f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1">
        <f>SUM(C71:C74)</f>
        <v>0</v>
      </c>
      <c r="D70" s="43">
        <f>SUM(D71:D74)</f>
        <v>0</v>
      </c>
      <c r="E70" s="43">
        <f>SUM(E71:E74)</f>
        <v>0</v>
      </c>
      <c r="F70" s="43">
        <f aca="true" t="shared" si="16" ref="F70:K70">SUM(F71:F74)</f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1">
        <f>SUM(C76:C77)</f>
        <v>230456308</v>
      </c>
      <c r="D75" s="43">
        <f>SUM(D76:D77)</f>
        <v>175484021</v>
      </c>
      <c r="E75" s="43">
        <f>SUM(E76:E77)</f>
        <v>-1000000</v>
      </c>
      <c r="F75" s="43">
        <f aca="true" t="shared" si="17" ref="F75:K75">SUM(F76:F77)</f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174484021</v>
      </c>
      <c r="K75" s="41">
        <f t="shared" si="17"/>
        <v>404940329</v>
      </c>
    </row>
    <row r="76" spans="1:11" s="316" customFormat="1" ht="12" customHeight="1">
      <c r="A76" s="312" t="s">
        <v>274</v>
      </c>
      <c r="B76" s="47" t="s">
        <v>275</v>
      </c>
      <c r="C76" s="55">
        <v>230456308</v>
      </c>
      <c r="D76" s="67">
        <v>175484021</v>
      </c>
      <c r="E76" s="67">
        <v>-1000000</v>
      </c>
      <c r="F76" s="67"/>
      <c r="G76" s="67"/>
      <c r="H76" s="67"/>
      <c r="I76" s="67"/>
      <c r="J76" s="83">
        <f>D76+E76+F76+G76+H76+I76</f>
        <v>174484021</v>
      </c>
      <c r="K76" s="318">
        <f>C76+J76</f>
        <v>404940329</v>
      </c>
    </row>
    <row r="77" spans="1:11" s="316" customFormat="1" ht="12" customHeight="1">
      <c r="A77" s="317" t="s">
        <v>276</v>
      </c>
      <c r="B77" s="64" t="s">
        <v>277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1">
        <f>SUM(C79:C81)</f>
        <v>0</v>
      </c>
      <c r="D78" s="43">
        <f>SUM(D79:D81)</f>
        <v>0</v>
      </c>
      <c r="E78" s="43">
        <f>SUM(E79:E81)</f>
        <v>0</v>
      </c>
      <c r="F78" s="43">
        <f aca="true" t="shared" si="18" ref="F78:K78">SUM(F79:F81)</f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1">
        <f>SUM(C83:C86)</f>
        <v>0</v>
      </c>
      <c r="D82" s="43">
        <f>SUM(D83:D86)</f>
        <v>0</v>
      </c>
      <c r="E82" s="43">
        <f>SUM(E83:E86)</f>
        <v>0</v>
      </c>
      <c r="F82" s="43">
        <f aca="true" t="shared" si="19" ref="F82:K82">SUM(F83:F86)</f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1">
        <f>+C66+C70+C75+C78+C82+C88+C87</f>
        <v>230456308</v>
      </c>
      <c r="D89" s="43">
        <f>+D66+D70+D75+D78+D82+D88+D87</f>
        <v>175484021</v>
      </c>
      <c r="E89" s="43">
        <f>+E66+E70+E75+E78+E82+E88+E87</f>
        <v>-1000000</v>
      </c>
      <c r="F89" s="43">
        <f aca="true" t="shared" si="22" ref="F89:K89">+F66+F70+F75+F78+F82+F88+F87</f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174484021</v>
      </c>
      <c r="K89" s="41">
        <f t="shared" si="22"/>
        <v>404940329</v>
      </c>
    </row>
    <row r="90" spans="1:11" s="314" customFormat="1" ht="12" customHeight="1">
      <c r="A90" s="330" t="s">
        <v>530</v>
      </c>
      <c r="B90" s="92" t="s">
        <v>531</v>
      </c>
      <c r="C90" s="41">
        <f>+C65+C89</f>
        <v>782796507</v>
      </c>
      <c r="D90" s="43">
        <f>+D65+D89</f>
        <v>365424637</v>
      </c>
      <c r="E90" s="43">
        <f>+E65+E89</f>
        <v>36536339</v>
      </c>
      <c r="F90" s="43">
        <f aca="true" t="shared" si="23" ref="F90:K90">+F65+F89</f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401960976</v>
      </c>
      <c r="K90" s="41">
        <f t="shared" si="23"/>
        <v>1184757483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488" t="s">
        <v>404</v>
      </c>
      <c r="B92" s="488"/>
      <c r="C92" s="488"/>
      <c r="D92" s="488"/>
      <c r="E92" s="488"/>
      <c r="F92" s="488"/>
      <c r="G92" s="488"/>
      <c r="H92" s="488"/>
      <c r="I92" s="488"/>
      <c r="J92" s="488"/>
      <c r="K92" s="488"/>
    </row>
    <row r="93" spans="1:11" s="335" customFormat="1" ht="12" customHeight="1">
      <c r="A93" s="33" t="s">
        <v>138</v>
      </c>
      <c r="B93" s="113" t="s">
        <v>532</v>
      </c>
      <c r="C93" s="114">
        <f>+C94+C95+C96+C97+C98+C111</f>
        <v>230890347</v>
      </c>
      <c r="D93" s="334">
        <f>+D94+D95+D96+D97+D98+D111</f>
        <v>362867523</v>
      </c>
      <c r="E93" s="334">
        <f>+E94+E95+E96+E97+E98+E111</f>
        <v>3877808</v>
      </c>
      <c r="F93" s="334">
        <f aca="true" t="shared" si="24" ref="F93:K93">+F94+F95+F96+F97+F98+F111</f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366745331</v>
      </c>
      <c r="K93" s="114">
        <f t="shared" si="24"/>
        <v>597635678</v>
      </c>
    </row>
    <row r="94" spans="1:11" ht="12" customHeight="1">
      <c r="A94" s="336" t="s">
        <v>140</v>
      </c>
      <c r="B94" s="118" t="s">
        <v>308</v>
      </c>
      <c r="C94" s="93">
        <v>71188134</v>
      </c>
      <c r="D94" s="337">
        <v>127209562</v>
      </c>
      <c r="E94" s="337">
        <v>4513600</v>
      </c>
      <c r="F94" s="337"/>
      <c r="G94" s="337"/>
      <c r="H94" s="337"/>
      <c r="I94" s="119"/>
      <c r="J94" s="120">
        <f aca="true" t="shared" si="25" ref="J94:J113">D94+E94+F94+G94+H94+I94</f>
        <v>131723162</v>
      </c>
      <c r="K94" s="338">
        <f aca="true" t="shared" si="26" ref="K94:K113">C94+J94</f>
        <v>202911296</v>
      </c>
    </row>
    <row r="95" spans="1:11" ht="12" customHeight="1">
      <c r="A95" s="315" t="s">
        <v>142</v>
      </c>
      <c r="B95" s="122" t="s">
        <v>309</v>
      </c>
      <c r="C95" s="55">
        <v>10437700</v>
      </c>
      <c r="D95" s="67">
        <v>12405059</v>
      </c>
      <c r="E95" s="67">
        <v>790743</v>
      </c>
      <c r="F95" s="67"/>
      <c r="G95" s="67"/>
      <c r="H95" s="67"/>
      <c r="I95" s="67"/>
      <c r="J95" s="83">
        <f t="shared" si="25"/>
        <v>13195802</v>
      </c>
      <c r="K95" s="318">
        <f t="shared" si="26"/>
        <v>23633502</v>
      </c>
    </row>
    <row r="96" spans="1:11" ht="12" customHeight="1">
      <c r="A96" s="315" t="s">
        <v>144</v>
      </c>
      <c r="B96" s="122" t="s">
        <v>310</v>
      </c>
      <c r="C96" s="68">
        <v>93468015</v>
      </c>
      <c r="D96" s="69">
        <v>33609040</v>
      </c>
      <c r="E96" s="69"/>
      <c r="F96" s="69"/>
      <c r="G96" s="69"/>
      <c r="H96" s="67"/>
      <c r="I96" s="69"/>
      <c r="J96" s="123">
        <f t="shared" si="25"/>
        <v>33609040</v>
      </c>
      <c r="K96" s="319">
        <f t="shared" si="26"/>
        <v>127077055</v>
      </c>
    </row>
    <row r="97" spans="1:11" ht="12" customHeight="1">
      <c r="A97" s="315" t="s">
        <v>146</v>
      </c>
      <c r="B97" s="125" t="s">
        <v>311</v>
      </c>
      <c r="C97" s="68">
        <v>26630000</v>
      </c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26630000</v>
      </c>
    </row>
    <row r="98" spans="1:11" ht="12" customHeight="1">
      <c r="A98" s="315" t="s">
        <v>312</v>
      </c>
      <c r="B98" s="126" t="s">
        <v>313</v>
      </c>
      <c r="C98" s="68">
        <v>9166498</v>
      </c>
      <c r="D98" s="69">
        <v>5252601</v>
      </c>
      <c r="E98" s="69">
        <v>3000000</v>
      </c>
      <c r="F98" s="69"/>
      <c r="G98" s="69"/>
      <c r="H98" s="69"/>
      <c r="I98" s="69"/>
      <c r="J98" s="123">
        <f t="shared" si="25"/>
        <v>8252601</v>
      </c>
      <c r="K98" s="319">
        <f t="shared" si="26"/>
        <v>17419099</v>
      </c>
    </row>
    <row r="99" spans="1:11" ht="12" customHeight="1">
      <c r="A99" s="315" t="s">
        <v>150</v>
      </c>
      <c r="B99" s="122" t="s">
        <v>533</v>
      </c>
      <c r="C99" s="68">
        <v>5000000</v>
      </c>
      <c r="D99" s="69">
        <v>5252601</v>
      </c>
      <c r="E99" s="69"/>
      <c r="F99" s="69"/>
      <c r="G99" s="69"/>
      <c r="H99" s="69"/>
      <c r="I99" s="69"/>
      <c r="J99" s="123">
        <f t="shared" si="25"/>
        <v>5252601</v>
      </c>
      <c r="K99" s="319">
        <f t="shared" si="26"/>
        <v>10252601</v>
      </c>
    </row>
    <row r="100" spans="1:11" ht="12" customHeight="1">
      <c r="A100" s="315" t="s">
        <v>315</v>
      </c>
      <c r="B100" s="128" t="s">
        <v>316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8">
        <v>3170838</v>
      </c>
      <c r="D105" s="69"/>
      <c r="E105" s="69">
        <v>3000000</v>
      </c>
      <c r="F105" s="69"/>
      <c r="G105" s="69"/>
      <c r="H105" s="69"/>
      <c r="I105" s="69"/>
      <c r="J105" s="123">
        <f t="shared" si="25"/>
        <v>3000000</v>
      </c>
      <c r="K105" s="319">
        <f t="shared" si="26"/>
        <v>6170838</v>
      </c>
    </row>
    <row r="106" spans="1:11" ht="12" customHeight="1">
      <c r="A106" s="315" t="s">
        <v>327</v>
      </c>
      <c r="B106" s="128" t="s">
        <v>328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55">
        <v>995660</v>
      </c>
      <c r="D110" s="67"/>
      <c r="E110" s="67"/>
      <c r="F110" s="67"/>
      <c r="G110" s="67"/>
      <c r="H110" s="67"/>
      <c r="I110" s="67"/>
      <c r="J110" s="83">
        <f t="shared" si="25"/>
        <v>0</v>
      </c>
      <c r="K110" s="318">
        <f t="shared" si="26"/>
        <v>995660</v>
      </c>
    </row>
    <row r="111" spans="1:11" ht="12" customHeight="1">
      <c r="A111" s="315" t="s">
        <v>337</v>
      </c>
      <c r="B111" s="125" t="s">
        <v>338</v>
      </c>
      <c r="C111" s="55">
        <f>SUM(C112:C113)</f>
        <v>20000000</v>
      </c>
      <c r="D111" s="67">
        <f>SUM(D112:D113)</f>
        <v>184391261</v>
      </c>
      <c r="E111" s="67">
        <f>SUM(E112:E113)</f>
        <v>-4426535</v>
      </c>
      <c r="F111" s="67"/>
      <c r="G111" s="67"/>
      <c r="H111" s="67"/>
      <c r="I111" s="67"/>
      <c r="J111" s="83">
        <f t="shared" si="25"/>
        <v>179964726</v>
      </c>
      <c r="K111" s="318">
        <f t="shared" si="26"/>
        <v>199964726</v>
      </c>
    </row>
    <row r="112" spans="1:11" ht="12" customHeight="1">
      <c r="A112" s="317" t="s">
        <v>339</v>
      </c>
      <c r="B112" s="122" t="s">
        <v>534</v>
      </c>
      <c r="C112" s="68">
        <v>17647000</v>
      </c>
      <c r="D112" s="69">
        <v>168881420</v>
      </c>
      <c r="E112" s="69">
        <v>-4426535</v>
      </c>
      <c r="F112" s="69"/>
      <c r="G112" s="69"/>
      <c r="H112" s="69"/>
      <c r="I112" s="69"/>
      <c r="J112" s="123">
        <f t="shared" si="25"/>
        <v>164454885</v>
      </c>
      <c r="K112" s="319">
        <f t="shared" si="26"/>
        <v>182101885</v>
      </c>
    </row>
    <row r="113" spans="1:11" ht="12" customHeight="1">
      <c r="A113" s="321" t="s">
        <v>341</v>
      </c>
      <c r="B113" s="340" t="s">
        <v>535</v>
      </c>
      <c r="C113" s="72">
        <v>2353000</v>
      </c>
      <c r="D113" s="74">
        <v>15509841</v>
      </c>
      <c r="E113" s="74"/>
      <c r="F113" s="74"/>
      <c r="G113" s="74"/>
      <c r="H113" s="74"/>
      <c r="I113" s="74"/>
      <c r="J113" s="75">
        <f t="shared" si="25"/>
        <v>15509841</v>
      </c>
      <c r="K113" s="323">
        <f t="shared" si="26"/>
        <v>17862841</v>
      </c>
    </row>
    <row r="114" spans="1:11" ht="12" customHeight="1">
      <c r="A114" s="110" t="s">
        <v>152</v>
      </c>
      <c r="B114" s="164" t="s">
        <v>343</v>
      </c>
      <c r="C114" s="41">
        <f>+C115+C117+C119</f>
        <v>186775694</v>
      </c>
      <c r="D114" s="43">
        <f>+D115+D117+D119</f>
        <v>0</v>
      </c>
      <c r="E114" s="43">
        <f>+E115+E117+E119</f>
        <v>25212969</v>
      </c>
      <c r="F114" s="43">
        <f aca="true" t="shared" si="27" ref="F114:K114">+F115+F117+F119</f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25212969</v>
      </c>
      <c r="K114" s="41">
        <f t="shared" si="27"/>
        <v>211988663</v>
      </c>
    </row>
    <row r="115" spans="1:11" ht="12" customHeight="1">
      <c r="A115" s="312" t="s">
        <v>154</v>
      </c>
      <c r="B115" s="122" t="s">
        <v>344</v>
      </c>
      <c r="C115" s="48">
        <v>27211862</v>
      </c>
      <c r="D115" s="50"/>
      <c r="E115" s="50">
        <v>-983738</v>
      </c>
      <c r="F115" s="50"/>
      <c r="G115" s="50"/>
      <c r="H115" s="50"/>
      <c r="I115" s="50"/>
      <c r="J115" s="51">
        <f aca="true" t="shared" si="28" ref="J115:J127">D115+E115+F115+G115+H115+I115</f>
        <v>-983738</v>
      </c>
      <c r="K115" s="313">
        <f aca="true" t="shared" si="29" ref="K115:K127">C115+J115</f>
        <v>26228124</v>
      </c>
    </row>
    <row r="116" spans="1:11" ht="12" customHeight="1">
      <c r="A116" s="312" t="s">
        <v>156</v>
      </c>
      <c r="B116" s="133" t="s">
        <v>345</v>
      </c>
      <c r="C116" s="134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55">
        <v>155763832</v>
      </c>
      <c r="D117" s="67"/>
      <c r="E117" s="67">
        <v>25846707</v>
      </c>
      <c r="F117" s="67"/>
      <c r="G117" s="67"/>
      <c r="H117" s="67"/>
      <c r="I117" s="67"/>
      <c r="J117" s="83">
        <f t="shared" si="28"/>
        <v>25846707</v>
      </c>
      <c r="K117" s="318">
        <f t="shared" si="29"/>
        <v>181610539</v>
      </c>
    </row>
    <row r="118" spans="1:11" ht="12" customHeight="1">
      <c r="A118" s="312" t="s">
        <v>160</v>
      </c>
      <c r="B118" s="133" t="s">
        <v>347</v>
      </c>
      <c r="C118" s="135">
        <v>120091212</v>
      </c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120091212</v>
      </c>
    </row>
    <row r="119" spans="1:11" ht="12" customHeight="1">
      <c r="A119" s="312" t="s">
        <v>162</v>
      </c>
      <c r="B119" s="59" t="s">
        <v>348</v>
      </c>
      <c r="C119" s="136">
        <v>3800000</v>
      </c>
      <c r="D119" s="67"/>
      <c r="E119" s="67">
        <v>350000</v>
      </c>
      <c r="F119" s="67"/>
      <c r="G119" s="67"/>
      <c r="H119" s="67"/>
      <c r="I119" s="67"/>
      <c r="J119" s="83">
        <f t="shared" si="28"/>
        <v>350000</v>
      </c>
      <c r="K119" s="318">
        <f t="shared" si="29"/>
        <v>4150000</v>
      </c>
    </row>
    <row r="120" spans="1:11" ht="12" customHeight="1">
      <c r="A120" s="312" t="s">
        <v>164</v>
      </c>
      <c r="B120" s="57" t="s">
        <v>349</v>
      </c>
      <c r="C120" s="136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136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136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136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136"/>
      <c r="D125" s="67"/>
      <c r="E125" s="67">
        <v>350000</v>
      </c>
      <c r="F125" s="67"/>
      <c r="G125" s="67"/>
      <c r="H125" s="67"/>
      <c r="I125" s="67"/>
      <c r="J125" s="83">
        <f t="shared" si="28"/>
        <v>350000</v>
      </c>
      <c r="K125" s="318">
        <f t="shared" si="29"/>
        <v>350000</v>
      </c>
    </row>
    <row r="126" spans="1:11" ht="12" customHeight="1">
      <c r="A126" s="312" t="s">
        <v>358</v>
      </c>
      <c r="B126" s="129" t="s">
        <v>359</v>
      </c>
      <c r="C126" s="136"/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0</v>
      </c>
    </row>
    <row r="127" spans="1:11" ht="12" customHeight="1">
      <c r="A127" s="339" t="s">
        <v>360</v>
      </c>
      <c r="B127" s="129" t="s">
        <v>361</v>
      </c>
      <c r="C127" s="138">
        <v>3800000</v>
      </c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3800000</v>
      </c>
    </row>
    <row r="128" spans="1:11" ht="12" customHeight="1">
      <c r="A128" s="110" t="s">
        <v>166</v>
      </c>
      <c r="B128" s="40" t="s">
        <v>362</v>
      </c>
      <c r="C128" s="41">
        <f>+C93+C114</f>
        <v>417666041</v>
      </c>
      <c r="D128" s="43">
        <f>+D93+D114</f>
        <v>362867523</v>
      </c>
      <c r="E128" s="43">
        <f>+E93+E114</f>
        <v>29090777</v>
      </c>
      <c r="F128" s="43">
        <f aca="true" t="shared" si="30" ref="F128:K128">+F93+F114</f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391958300</v>
      </c>
      <c r="K128" s="41">
        <f t="shared" si="30"/>
        <v>809624341</v>
      </c>
    </row>
    <row r="129" spans="1:11" ht="12" customHeight="1">
      <c r="A129" s="110" t="s">
        <v>363</v>
      </c>
      <c r="B129" s="40" t="s">
        <v>536</v>
      </c>
      <c r="C129" s="41">
        <f>+C130+C131+C132</f>
        <v>0</v>
      </c>
      <c r="D129" s="43">
        <f>+D130+D131+D132</f>
        <v>0</v>
      </c>
      <c r="E129" s="43">
        <f>+E130+E131+E132</f>
        <v>0</v>
      </c>
      <c r="F129" s="43">
        <f aca="true" t="shared" si="31" ref="F129:K129">+F130+F131+F132</f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1">
        <f>+C134+C135+C136+C137+C138+C139</f>
        <v>0</v>
      </c>
      <c r="D133" s="43">
        <f>+D134+D135+D136+D137+D138+D139</f>
        <v>0</v>
      </c>
      <c r="E133" s="43">
        <f>+E134+E135+E136+E137+E138+E139</f>
        <v>0</v>
      </c>
      <c r="F133" s="43">
        <f aca="true" t="shared" si="32" ref="F133:K133">+F134+F135+F136+F137+F138+F139</f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136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136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136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136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136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136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1">
        <f>+C141+C142+C144+C145+C143</f>
        <v>365130466</v>
      </c>
      <c r="D140" s="43">
        <f>+D141+D142+D144+D145+D143</f>
        <v>2557114</v>
      </c>
      <c r="E140" s="43">
        <f>+E141+E142+E144+E145+E143</f>
        <v>7445562</v>
      </c>
      <c r="F140" s="43">
        <f aca="true" t="shared" si="35" ref="F140:K140">+F141+F142+F144+F145+F143</f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10002676</v>
      </c>
      <c r="K140" s="41">
        <f t="shared" si="35"/>
        <v>375133142</v>
      </c>
      <c r="Q140" s="341"/>
    </row>
    <row r="141" spans="1:11" ht="12.75">
      <c r="A141" s="312" t="s">
        <v>222</v>
      </c>
      <c r="B141" s="139" t="s">
        <v>376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136">
        <v>15390031</v>
      </c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15390031</v>
      </c>
    </row>
    <row r="143" spans="1:11" ht="12" customHeight="1">
      <c r="A143" s="312" t="s">
        <v>226</v>
      </c>
      <c r="B143" s="139" t="s">
        <v>541</v>
      </c>
      <c r="C143" s="136">
        <v>349740435</v>
      </c>
      <c r="D143" s="67">
        <v>2557114</v>
      </c>
      <c r="E143" s="67">
        <v>7445562</v>
      </c>
      <c r="F143" s="67"/>
      <c r="G143" s="67"/>
      <c r="H143" s="67"/>
      <c r="I143" s="67"/>
      <c r="J143" s="83">
        <f>D143+E143+F143+G143+H143+I143</f>
        <v>10002676</v>
      </c>
      <c r="K143" s="318">
        <f>C143+J143</f>
        <v>359743111</v>
      </c>
    </row>
    <row r="144" spans="1:11" s="335" customFormat="1" ht="12" customHeight="1">
      <c r="A144" s="312" t="s">
        <v>228</v>
      </c>
      <c r="B144" s="139" t="s">
        <v>378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2">
        <f>+C147+C148+C149+C150+C151</f>
        <v>0</v>
      </c>
      <c r="D146" s="144">
        <f>+D147+D148+D149+D150+D151</f>
        <v>0</v>
      </c>
      <c r="E146" s="144">
        <f>+E147+E148+E149+E150+E151</f>
        <v>0</v>
      </c>
      <c r="F146" s="144">
        <f aca="true" t="shared" si="36" ref="F146:K146">+F147+F148+F149+F150+F151</f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136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136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136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136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138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2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2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343">
        <f>+C129+C133+C140+C146+C152+C153</f>
        <v>365130466</v>
      </c>
      <c r="D154" s="154">
        <f>+D129+D133+D140+D146+D152+D153</f>
        <v>2557114</v>
      </c>
      <c r="E154" s="154">
        <f>+E129+E133+E140+E146+E152+E153</f>
        <v>7445562</v>
      </c>
      <c r="F154" s="154">
        <f aca="true" t="shared" si="39" ref="F154:K154">+F129+F133+F140+F146+F152+F153</f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10002676</v>
      </c>
      <c r="K154" s="343">
        <f t="shared" si="39"/>
        <v>375133142</v>
      </c>
    </row>
    <row r="155" spans="1:11" ht="15" customHeight="1">
      <c r="A155" s="344" t="s">
        <v>393</v>
      </c>
      <c r="B155" s="159" t="s">
        <v>394</v>
      </c>
      <c r="C155" s="343">
        <f>+C128+C154</f>
        <v>782796507</v>
      </c>
      <c r="D155" s="154">
        <f>+D128+D154</f>
        <v>365424637</v>
      </c>
      <c r="E155" s="154">
        <f>+E128+E154</f>
        <v>36536339</v>
      </c>
      <c r="F155" s="154">
        <f aca="true" t="shared" si="40" ref="F155:K155">+F128+F154</f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401960976</v>
      </c>
      <c r="K155" s="343">
        <f t="shared" si="40"/>
        <v>1184757483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1">
        <v>5.5</v>
      </c>
      <c r="D157" s="352">
        <v>0</v>
      </c>
      <c r="E157" s="352">
        <v>3</v>
      </c>
      <c r="F157" s="352"/>
      <c r="G157" s="352"/>
      <c r="H157" s="352"/>
      <c r="I157" s="353"/>
      <c r="J157" s="354">
        <f>D157+E157+F157+G157+H157+I157</f>
        <v>3</v>
      </c>
      <c r="K157" s="142">
        <f>C157+J157</f>
        <v>8.5</v>
      </c>
    </row>
    <row r="158" spans="1:11" ht="14.25" customHeight="1">
      <c r="A158" s="349" t="s">
        <v>544</v>
      </c>
      <c r="B158" s="350"/>
      <c r="C158" s="355">
        <v>51</v>
      </c>
      <c r="D158" s="356">
        <v>110</v>
      </c>
      <c r="E158" s="352">
        <v>0</v>
      </c>
      <c r="F158" s="352"/>
      <c r="G158" s="352"/>
      <c r="H158" s="352"/>
      <c r="I158" s="353"/>
      <c r="J158" s="354">
        <f>D158+E158+F158+G158+H158+I158</f>
        <v>110</v>
      </c>
      <c r="K158" s="142">
        <f>C158+J158</f>
        <v>161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91">
      <selection activeCell="C98" sqref="C98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489" t="str">
        <f>CONCATENATE("5.1.2. melléklet ",RM_ALAPADATOK!A7," ",RM_ALAPADATOK!B7," ",RM_ALAPADATOK!C7," ",RM_ALAPADATOK!D7," ",RM_ALAPADATOK!E7," ",RM_ALAPADATOK!F7," ",RM_ALAPADATOK!G7," ",RM_ALAPADATOK!H7)</f>
        <v>5.1.2. melléklet a  / 2019 (  ) önkormányzati rendelethez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294" customFormat="1" ht="21" customHeight="1">
      <c r="A2" s="292" t="s">
        <v>405</v>
      </c>
      <c r="B2" s="490" t="str">
        <f>CONCATENATE(RM_ALAPADATOK!A3)</f>
        <v>Elek Város Önkormányzata</v>
      </c>
      <c r="C2" s="490"/>
      <c r="D2" s="490"/>
      <c r="E2" s="490"/>
      <c r="F2" s="490"/>
      <c r="G2" s="490"/>
      <c r="H2" s="490"/>
      <c r="I2" s="490"/>
      <c r="J2" s="490"/>
      <c r="K2" s="293" t="s">
        <v>521</v>
      </c>
    </row>
    <row r="3" spans="1:11" s="294" customFormat="1" ht="36.75" customHeight="1">
      <c r="A3" s="292" t="s">
        <v>520</v>
      </c>
      <c r="B3" s="491" t="s">
        <v>32</v>
      </c>
      <c r="C3" s="491"/>
      <c r="D3" s="491"/>
      <c r="E3" s="491"/>
      <c r="F3" s="491"/>
      <c r="G3" s="491"/>
      <c r="H3" s="491"/>
      <c r="I3" s="491"/>
      <c r="J3" s="491"/>
      <c r="K3" s="295" t="s">
        <v>546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03" t="str">
        <f>CONCATENATE('RM_1.1.sz.mell.'!C9:K9)</f>
        <v>Eredeti
előirányzat</v>
      </c>
      <c r="D5" s="360" t="str">
        <f>CONCATENATE('RM_1.1.sz.mell.'!D9)</f>
        <v>1. sz. módosítás </v>
      </c>
      <c r="E5" s="304" t="str">
        <f>CONCATENATE('RM_1.1.sz.mell.'!E9)</f>
        <v>2. sz. módosítás </v>
      </c>
      <c r="F5" s="304" t="str">
        <f>CONCATENATE('RM_1.1.sz.mell.'!F9)</f>
        <v>3. sz. módosítás </v>
      </c>
      <c r="G5" s="304" t="str">
        <f>CONCATENATE('RM_1.1.sz.mell.'!G9)</f>
        <v>4. sz. módosítás </v>
      </c>
      <c r="H5" s="304" t="str">
        <f>CONCATENATE('RM_1.1.sz.mell.'!H9)</f>
        <v>.5. sz. módosítás </v>
      </c>
      <c r="I5" s="304" t="str">
        <f>CONCATENATE('RM_1.1.sz.mell.'!I9)</f>
        <v>6. sz. módosítás </v>
      </c>
      <c r="J5" s="304" t="s">
        <v>126</v>
      </c>
      <c r="K5" s="305" t="str">
        <f>CONCATENATE('RM_5.1.1.sz.mell'!K5)</f>
        <v>2.számú módosítás utáni előirányzat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488" t="s">
        <v>403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</row>
    <row r="8" spans="1:11" s="311" customFormat="1" ht="12" customHeight="1">
      <c r="A8" s="110" t="s">
        <v>138</v>
      </c>
      <c r="B8" s="40" t="s">
        <v>139</v>
      </c>
      <c r="C8" s="41">
        <f>+C9+C10+C11+C12+C13+C14</f>
        <v>0</v>
      </c>
      <c r="D8" s="42">
        <f aca="true" t="shared" si="0" ref="D8:I8">+D9+D10+D11+D12+D13+D14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0</v>
      </c>
      <c r="K8" s="41">
        <f>+K9+K10+K11+K12+K13+K14</f>
        <v>0</v>
      </c>
    </row>
    <row r="9" spans="1:11" s="314" customFormat="1" ht="12" customHeight="1">
      <c r="A9" s="312" t="s">
        <v>140</v>
      </c>
      <c r="B9" s="47" t="s">
        <v>141</v>
      </c>
      <c r="C9" s="48"/>
      <c r="D9" s="49"/>
      <c r="E9" s="49"/>
      <c r="F9" s="49"/>
      <c r="G9" s="49"/>
      <c r="H9" s="49"/>
      <c r="I9" s="50"/>
      <c r="J9" s="51">
        <f>D9+E9+F9+G9+H9+I9</f>
        <v>0</v>
      </c>
      <c r="K9" s="313">
        <f aca="true" t="shared" si="1" ref="K9:K14">C9+J9</f>
        <v>0</v>
      </c>
    </row>
    <row r="10" spans="1:11" s="316" customFormat="1" ht="12" customHeight="1">
      <c r="A10" s="315" t="s">
        <v>142</v>
      </c>
      <c r="B10" s="54" t="s">
        <v>143</v>
      </c>
      <c r="C10" s="55"/>
      <c r="D10" s="56"/>
      <c r="E10" s="56"/>
      <c r="F10" s="56"/>
      <c r="G10" s="56"/>
      <c r="H10" s="56"/>
      <c r="I10" s="67"/>
      <c r="J10" s="51">
        <f aca="true" t="shared" si="2" ref="J10:J64">D10+E10+F10+G10+H10+I10</f>
        <v>0</v>
      </c>
      <c r="K10" s="313">
        <f t="shared" si="1"/>
        <v>0</v>
      </c>
    </row>
    <row r="11" spans="1:11" s="316" customFormat="1" ht="12" customHeight="1">
      <c r="A11" s="315" t="s">
        <v>144</v>
      </c>
      <c r="B11" s="54" t="s">
        <v>145</v>
      </c>
      <c r="C11" s="55"/>
      <c r="D11" s="56"/>
      <c r="E11" s="56"/>
      <c r="F11" s="56"/>
      <c r="G11" s="56"/>
      <c r="H11" s="56"/>
      <c r="I11" s="67"/>
      <c r="J11" s="51">
        <f t="shared" si="2"/>
        <v>0</v>
      </c>
      <c r="K11" s="313">
        <f t="shared" si="1"/>
        <v>0</v>
      </c>
    </row>
    <row r="12" spans="1:11" s="316" customFormat="1" ht="12" customHeight="1">
      <c r="A12" s="315" t="s">
        <v>146</v>
      </c>
      <c r="B12" s="54" t="s">
        <v>147</v>
      </c>
      <c r="C12" s="55"/>
      <c r="D12" s="56"/>
      <c r="E12" s="56"/>
      <c r="F12" s="56"/>
      <c r="G12" s="56"/>
      <c r="H12" s="56"/>
      <c r="I12" s="67"/>
      <c r="J12" s="51">
        <f t="shared" si="2"/>
        <v>0</v>
      </c>
      <c r="K12" s="313">
        <f t="shared" si="1"/>
        <v>0</v>
      </c>
    </row>
    <row r="13" spans="1:11" s="316" customFormat="1" ht="12" customHeight="1">
      <c r="A13" s="315" t="s">
        <v>148</v>
      </c>
      <c r="B13" s="54" t="s">
        <v>524</v>
      </c>
      <c r="C13" s="55"/>
      <c r="D13" s="56"/>
      <c r="E13" s="56"/>
      <c r="F13" s="56"/>
      <c r="G13" s="56"/>
      <c r="H13" s="56"/>
      <c r="I13" s="67"/>
      <c r="J13" s="51">
        <f t="shared" si="2"/>
        <v>0</v>
      </c>
      <c r="K13" s="313">
        <f t="shared" si="1"/>
        <v>0</v>
      </c>
    </row>
    <row r="14" spans="1:11" s="314" customFormat="1" ht="12" customHeight="1">
      <c r="A14" s="317" t="s">
        <v>150</v>
      </c>
      <c r="B14" s="64" t="s">
        <v>151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1">
        <f>+C16+C17+C18+C19+C20</f>
        <v>3739296</v>
      </c>
      <c r="D15" s="42">
        <f aca="true" t="shared" si="3" ref="D15:K15">+D16+D17+D18+D19+D20</f>
        <v>4506537</v>
      </c>
      <c r="E15" s="42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4506537</v>
      </c>
      <c r="K15" s="41">
        <f t="shared" si="3"/>
        <v>8245833</v>
      </c>
    </row>
    <row r="16" spans="1:11" s="314" customFormat="1" ht="12" customHeight="1">
      <c r="A16" s="312" t="s">
        <v>154</v>
      </c>
      <c r="B16" s="47" t="s">
        <v>155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5">
        <v>3739296</v>
      </c>
      <c r="D20" s="56">
        <v>4506537</v>
      </c>
      <c r="E20" s="56"/>
      <c r="F20" s="56"/>
      <c r="G20" s="56"/>
      <c r="H20" s="56"/>
      <c r="I20" s="67"/>
      <c r="J20" s="83">
        <f t="shared" si="2"/>
        <v>4506537</v>
      </c>
      <c r="K20" s="318">
        <f t="shared" si="4"/>
        <v>8245833</v>
      </c>
    </row>
    <row r="21" spans="1:11" s="316" customFormat="1" ht="12" customHeight="1">
      <c r="A21" s="317" t="s">
        <v>164</v>
      </c>
      <c r="B21" s="64" t="s">
        <v>165</v>
      </c>
      <c r="C21" s="68">
        <v>3139296</v>
      </c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3139296</v>
      </c>
    </row>
    <row r="22" spans="1:11" s="316" customFormat="1" ht="12" customHeight="1">
      <c r="A22" s="110" t="s">
        <v>166</v>
      </c>
      <c r="B22" s="40" t="s">
        <v>167</v>
      </c>
      <c r="C22" s="41">
        <f>+C23+C24+C25+C26+C27</f>
        <v>0</v>
      </c>
      <c r="D22" s="42">
        <f aca="true" t="shared" si="5" ref="D22:K22">+D23+D24+D25+D26+D27</f>
        <v>18677994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18677994</v>
      </c>
      <c r="K22" s="41">
        <f t="shared" si="5"/>
        <v>18677994</v>
      </c>
    </row>
    <row r="23" spans="1:11" s="316" customFormat="1" ht="12" customHeight="1">
      <c r="A23" s="312" t="s">
        <v>168</v>
      </c>
      <c r="B23" s="47" t="s">
        <v>169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55"/>
      <c r="D27" s="56">
        <v>18677994</v>
      </c>
      <c r="E27" s="56"/>
      <c r="F27" s="56"/>
      <c r="G27" s="56"/>
      <c r="H27" s="56"/>
      <c r="I27" s="67"/>
      <c r="J27" s="83">
        <f t="shared" si="2"/>
        <v>18677994</v>
      </c>
      <c r="K27" s="318">
        <f t="shared" si="6"/>
        <v>18677994</v>
      </c>
    </row>
    <row r="28" spans="1:11" s="316" customFormat="1" ht="12" customHeight="1">
      <c r="A28" s="317" t="s">
        <v>178</v>
      </c>
      <c r="B28" s="64" t="s">
        <v>179</v>
      </c>
      <c r="C28" s="68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1">
        <f>SUM(C30:C36)</f>
        <v>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0</v>
      </c>
    </row>
    <row r="30" spans="1:11" s="316" customFormat="1" ht="12" customHeight="1">
      <c r="A30" s="312" t="s">
        <v>182</v>
      </c>
      <c r="B30" s="47" t="s">
        <v>183</v>
      </c>
      <c r="C30" s="48"/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0</v>
      </c>
    </row>
    <row r="31" spans="1:11" s="316" customFormat="1" ht="12" customHeight="1">
      <c r="A31" s="315" t="s">
        <v>184</v>
      </c>
      <c r="B31" s="54" t="s">
        <v>185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55"/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0</v>
      </c>
    </row>
    <row r="33" spans="1:11" s="316" customFormat="1" ht="12" customHeight="1">
      <c r="A33" s="315" t="s">
        <v>188</v>
      </c>
      <c r="B33" s="54" t="s">
        <v>189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55"/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0</v>
      </c>
    </row>
    <row r="35" spans="1:11" s="316" customFormat="1" ht="12" customHeight="1">
      <c r="A35" s="315" t="s">
        <v>192</v>
      </c>
      <c r="B35" s="54" t="s">
        <v>193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1">
        <f>SUM(C38:C48)</f>
        <v>4516000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4516000</v>
      </c>
    </row>
    <row r="38" spans="1:11" s="316" customFormat="1" ht="12" customHeight="1">
      <c r="A38" s="312" t="s">
        <v>198</v>
      </c>
      <c r="B38" s="47" t="s">
        <v>199</v>
      </c>
      <c r="C38" s="48">
        <v>3500000</v>
      </c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3500000</v>
      </c>
    </row>
    <row r="39" spans="1:11" s="316" customFormat="1" ht="12" customHeight="1">
      <c r="A39" s="315" t="s">
        <v>200</v>
      </c>
      <c r="B39" s="54" t="s">
        <v>201</v>
      </c>
      <c r="C39" s="55"/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0</v>
      </c>
    </row>
    <row r="40" spans="1:11" s="316" customFormat="1" ht="12" customHeight="1">
      <c r="A40" s="315" t="s">
        <v>202</v>
      </c>
      <c r="B40" s="54" t="s">
        <v>203</v>
      </c>
      <c r="C40" s="55"/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0</v>
      </c>
    </row>
    <row r="41" spans="1:11" s="316" customFormat="1" ht="12" customHeight="1">
      <c r="A41" s="315" t="s">
        <v>204</v>
      </c>
      <c r="B41" s="54" t="s">
        <v>205</v>
      </c>
      <c r="C41" s="55">
        <v>800000</v>
      </c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800000</v>
      </c>
    </row>
    <row r="42" spans="1:11" s="316" customFormat="1" ht="12" customHeight="1">
      <c r="A42" s="315" t="s">
        <v>206</v>
      </c>
      <c r="B42" s="54" t="s">
        <v>207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55">
        <v>216000</v>
      </c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216000</v>
      </c>
    </row>
    <row r="44" spans="1:11" s="316" customFormat="1" ht="12" customHeight="1">
      <c r="A44" s="315" t="s">
        <v>210</v>
      </c>
      <c r="B44" s="54" t="s">
        <v>211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55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8"/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0</v>
      </c>
    </row>
    <row r="49" spans="1:11" s="316" customFormat="1" ht="12" customHeight="1">
      <c r="A49" s="110" t="s">
        <v>220</v>
      </c>
      <c r="B49" s="40" t="s">
        <v>221</v>
      </c>
      <c r="C49" s="41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1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1">
        <f>SUM(C61:C63)</f>
        <v>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0</v>
      </c>
    </row>
    <row r="61" spans="1:11" s="316" customFormat="1" ht="12" customHeight="1">
      <c r="A61" s="312" t="s">
        <v>244</v>
      </c>
      <c r="B61" s="47" t="s">
        <v>245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55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55"/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0</v>
      </c>
    </row>
    <row r="64" spans="1:11" s="316" customFormat="1" ht="12" customHeight="1">
      <c r="A64" s="317" t="s">
        <v>250</v>
      </c>
      <c r="B64" s="64" t="s">
        <v>251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1">
        <f>+C8+C15+C22+C29+C37+C49+C55+C60</f>
        <v>8255296</v>
      </c>
      <c r="D65" s="42">
        <f aca="true" t="shared" si="14" ref="D65:K65">+D8+D15+D22+D29+D37+D49+D55+D60</f>
        <v>23184531</v>
      </c>
      <c r="E65" s="42">
        <f t="shared" si="14"/>
        <v>0</v>
      </c>
      <c r="F65" s="42">
        <f t="shared" si="14"/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23184531</v>
      </c>
      <c r="K65" s="41">
        <f t="shared" si="14"/>
        <v>31439827</v>
      </c>
    </row>
    <row r="66" spans="1:11" s="316" customFormat="1" ht="12" customHeight="1">
      <c r="A66" s="324" t="s">
        <v>526</v>
      </c>
      <c r="B66" s="60" t="s">
        <v>255</v>
      </c>
      <c r="C66" s="41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1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1">
        <f>SUM(C76:C77)</f>
        <v>11048234</v>
      </c>
      <c r="D75" s="43">
        <f aca="true" t="shared" si="17" ref="D75:K75">SUM(D76:D77)</f>
        <v>13688</v>
      </c>
      <c r="E75" s="43">
        <f t="shared" si="17"/>
        <v>1000000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1013688</v>
      </c>
      <c r="K75" s="41">
        <f t="shared" si="17"/>
        <v>12061922</v>
      </c>
    </row>
    <row r="76" spans="1:11" s="316" customFormat="1" ht="12" customHeight="1">
      <c r="A76" s="312" t="s">
        <v>274</v>
      </c>
      <c r="B76" s="47" t="s">
        <v>275</v>
      </c>
      <c r="C76" s="55">
        <v>11048234</v>
      </c>
      <c r="D76" s="67">
        <v>13688</v>
      </c>
      <c r="E76" s="67">
        <v>1000000</v>
      </c>
      <c r="F76" s="67"/>
      <c r="G76" s="67"/>
      <c r="H76" s="67"/>
      <c r="I76" s="67"/>
      <c r="J76" s="83">
        <f>D76+E76+F76+G76+H76+I76</f>
        <v>1013688</v>
      </c>
      <c r="K76" s="318">
        <f>C76+J76</f>
        <v>12061922</v>
      </c>
    </row>
    <row r="77" spans="1:11" s="316" customFormat="1" ht="12" customHeight="1">
      <c r="A77" s="317" t="s">
        <v>276</v>
      </c>
      <c r="B77" s="64" t="s">
        <v>277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1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1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1">
        <f>+C66+C70+C75+C78+C82+C88+C87</f>
        <v>11048234</v>
      </c>
      <c r="D89" s="43">
        <f aca="true" t="shared" si="22" ref="D89:K89">+D66+D70+D75+D78+D82+D88+D87</f>
        <v>13688</v>
      </c>
      <c r="E89" s="43">
        <f t="shared" si="22"/>
        <v>1000000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1013688</v>
      </c>
      <c r="K89" s="41">
        <f t="shared" si="22"/>
        <v>12061922</v>
      </c>
    </row>
    <row r="90" spans="1:11" s="314" customFormat="1" ht="12" customHeight="1">
      <c r="A90" s="330" t="s">
        <v>530</v>
      </c>
      <c r="B90" s="92" t="s">
        <v>531</v>
      </c>
      <c r="C90" s="41">
        <f>+C65+C89</f>
        <v>19303530</v>
      </c>
      <c r="D90" s="43">
        <f aca="true" t="shared" si="23" ref="D90:K90">+D65+D89</f>
        <v>23198219</v>
      </c>
      <c r="E90" s="43">
        <f t="shared" si="23"/>
        <v>1000000</v>
      </c>
      <c r="F90" s="43">
        <f t="shared" si="23"/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24198219</v>
      </c>
      <c r="K90" s="41">
        <f t="shared" si="23"/>
        <v>43501749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488" t="s">
        <v>404</v>
      </c>
      <c r="B92" s="488"/>
      <c r="C92" s="488"/>
      <c r="D92" s="488"/>
      <c r="E92" s="488"/>
      <c r="F92" s="488"/>
      <c r="G92" s="488"/>
      <c r="H92" s="488"/>
      <c r="I92" s="488"/>
      <c r="J92" s="488"/>
      <c r="K92" s="488"/>
    </row>
    <row r="93" spans="1:11" s="335" customFormat="1" ht="12" customHeight="1">
      <c r="A93" s="33" t="s">
        <v>138</v>
      </c>
      <c r="B93" s="113" t="s">
        <v>532</v>
      </c>
      <c r="C93" s="114">
        <f>+C94+C95+C96+C97+C98+C111</f>
        <v>16303530</v>
      </c>
      <c r="D93" s="334">
        <f aca="true" t="shared" si="24" ref="D93:K93">+D94+D95+D96+D97+D98+D111</f>
        <v>3779777</v>
      </c>
      <c r="E93" s="334">
        <f t="shared" si="24"/>
        <v>1000000</v>
      </c>
      <c r="F93" s="334">
        <f t="shared" si="24"/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4779777</v>
      </c>
      <c r="K93" s="114">
        <f t="shared" si="24"/>
        <v>21083307</v>
      </c>
    </row>
    <row r="94" spans="1:11" ht="12" customHeight="1">
      <c r="A94" s="336" t="s">
        <v>140</v>
      </c>
      <c r="B94" s="118" t="s">
        <v>308</v>
      </c>
      <c r="C94" s="93">
        <v>5600000</v>
      </c>
      <c r="D94" s="337">
        <v>915425</v>
      </c>
      <c r="E94" s="337"/>
      <c r="F94" s="337"/>
      <c r="G94" s="337"/>
      <c r="H94" s="337"/>
      <c r="I94" s="119"/>
      <c r="J94" s="120">
        <f aca="true" t="shared" si="25" ref="J94:J113">D94+E94+F94+G94+H94+I94</f>
        <v>915425</v>
      </c>
      <c r="K94" s="338">
        <f aca="true" t="shared" si="26" ref="K94:K113">C94+J94</f>
        <v>6515425</v>
      </c>
    </row>
    <row r="95" spans="1:11" ht="12" customHeight="1">
      <c r="A95" s="315" t="s">
        <v>142</v>
      </c>
      <c r="B95" s="122" t="s">
        <v>309</v>
      </c>
      <c r="C95" s="55">
        <v>1063530</v>
      </c>
      <c r="D95" s="67">
        <v>142797</v>
      </c>
      <c r="E95" s="67"/>
      <c r="F95" s="67"/>
      <c r="G95" s="67"/>
      <c r="H95" s="67"/>
      <c r="I95" s="67"/>
      <c r="J95" s="83">
        <f t="shared" si="25"/>
        <v>142797</v>
      </c>
      <c r="K95" s="318">
        <f t="shared" si="26"/>
        <v>1206327</v>
      </c>
    </row>
    <row r="96" spans="1:11" ht="12" customHeight="1">
      <c r="A96" s="315" t="s">
        <v>144</v>
      </c>
      <c r="B96" s="122" t="s">
        <v>310</v>
      </c>
      <c r="C96" s="68">
        <v>7640000</v>
      </c>
      <c r="D96" s="69">
        <v>2721555</v>
      </c>
      <c r="E96" s="69"/>
      <c r="F96" s="69"/>
      <c r="G96" s="69"/>
      <c r="H96" s="67"/>
      <c r="I96" s="69"/>
      <c r="J96" s="123">
        <f t="shared" si="25"/>
        <v>2721555</v>
      </c>
      <c r="K96" s="319">
        <f t="shared" si="26"/>
        <v>10361555</v>
      </c>
    </row>
    <row r="97" spans="1:11" ht="12" customHeight="1">
      <c r="A97" s="315" t="s">
        <v>146</v>
      </c>
      <c r="B97" s="125" t="s">
        <v>311</v>
      </c>
      <c r="C97" s="68"/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0</v>
      </c>
    </row>
    <row r="98" spans="1:11" ht="12" customHeight="1">
      <c r="A98" s="315" t="s">
        <v>312</v>
      </c>
      <c r="B98" s="126" t="s">
        <v>313</v>
      </c>
      <c r="C98" s="68">
        <v>2000000</v>
      </c>
      <c r="D98" s="69"/>
      <c r="E98" s="69">
        <v>1000000</v>
      </c>
      <c r="F98" s="69"/>
      <c r="G98" s="69"/>
      <c r="H98" s="69"/>
      <c r="I98" s="69"/>
      <c r="J98" s="123">
        <f t="shared" si="25"/>
        <v>1000000</v>
      </c>
      <c r="K98" s="319">
        <f t="shared" si="26"/>
        <v>3000000</v>
      </c>
    </row>
    <row r="99" spans="1:11" ht="12" customHeight="1">
      <c r="A99" s="315" t="s">
        <v>150</v>
      </c>
      <c r="B99" s="122" t="s">
        <v>533</v>
      </c>
      <c r="C99" s="68"/>
      <c r="D99" s="69"/>
      <c r="E99" s="69"/>
      <c r="F99" s="69"/>
      <c r="G99" s="69"/>
      <c r="H99" s="69"/>
      <c r="I99" s="69"/>
      <c r="J99" s="123">
        <f t="shared" si="25"/>
        <v>0</v>
      </c>
      <c r="K99" s="319">
        <f t="shared" si="26"/>
        <v>0</v>
      </c>
    </row>
    <row r="100" spans="1:11" ht="12" customHeight="1">
      <c r="A100" s="315" t="s">
        <v>315</v>
      </c>
      <c r="B100" s="128" t="s">
        <v>316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8"/>
      <c r="D105" s="69"/>
      <c r="E105" s="69"/>
      <c r="F105" s="69"/>
      <c r="G105" s="69"/>
      <c r="H105" s="69"/>
      <c r="I105" s="69"/>
      <c r="J105" s="123">
        <f t="shared" si="25"/>
        <v>0</v>
      </c>
      <c r="K105" s="319">
        <f t="shared" si="26"/>
        <v>0</v>
      </c>
    </row>
    <row r="106" spans="1:11" ht="12" customHeight="1">
      <c r="A106" s="315" t="s">
        <v>327</v>
      </c>
      <c r="B106" s="128" t="s">
        <v>328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55">
        <v>2000000</v>
      </c>
      <c r="D110" s="67"/>
      <c r="E110" s="67">
        <v>1000000</v>
      </c>
      <c r="F110" s="67"/>
      <c r="G110" s="67"/>
      <c r="H110" s="67"/>
      <c r="I110" s="67"/>
      <c r="J110" s="83">
        <f t="shared" si="25"/>
        <v>1000000</v>
      </c>
      <c r="K110" s="318">
        <f t="shared" si="26"/>
        <v>3000000</v>
      </c>
    </row>
    <row r="111" spans="1:11" ht="12" customHeight="1">
      <c r="A111" s="315" t="s">
        <v>337</v>
      </c>
      <c r="B111" s="125" t="s">
        <v>338</v>
      </c>
      <c r="C111" s="55"/>
      <c r="D111" s="67"/>
      <c r="E111" s="67"/>
      <c r="F111" s="67"/>
      <c r="G111" s="67"/>
      <c r="H111" s="67"/>
      <c r="I111" s="67"/>
      <c r="J111" s="83">
        <f t="shared" si="25"/>
        <v>0</v>
      </c>
      <c r="K111" s="318">
        <f t="shared" si="26"/>
        <v>0</v>
      </c>
    </row>
    <row r="112" spans="1:11" ht="12" customHeight="1">
      <c r="A112" s="317" t="s">
        <v>339</v>
      </c>
      <c r="B112" s="122" t="s">
        <v>534</v>
      </c>
      <c r="C112" s="68"/>
      <c r="D112" s="69"/>
      <c r="E112" s="69"/>
      <c r="F112" s="69"/>
      <c r="G112" s="69"/>
      <c r="H112" s="69"/>
      <c r="I112" s="69"/>
      <c r="J112" s="123">
        <f t="shared" si="25"/>
        <v>0</v>
      </c>
      <c r="K112" s="319">
        <f t="shared" si="26"/>
        <v>0</v>
      </c>
    </row>
    <row r="113" spans="1:11" ht="12" customHeight="1">
      <c r="A113" s="321" t="s">
        <v>341</v>
      </c>
      <c r="B113" s="340" t="s">
        <v>535</v>
      </c>
      <c r="C113" s="72"/>
      <c r="D113" s="74"/>
      <c r="E113" s="74"/>
      <c r="F113" s="74"/>
      <c r="G113" s="74"/>
      <c r="H113" s="74"/>
      <c r="I113" s="74"/>
      <c r="J113" s="75">
        <f t="shared" si="25"/>
        <v>0</v>
      </c>
      <c r="K113" s="323">
        <f t="shared" si="26"/>
        <v>0</v>
      </c>
    </row>
    <row r="114" spans="1:11" ht="12" customHeight="1">
      <c r="A114" s="110" t="s">
        <v>152</v>
      </c>
      <c r="B114" s="164" t="s">
        <v>343</v>
      </c>
      <c r="C114" s="41">
        <f>+C115+C117+C119</f>
        <v>3000000</v>
      </c>
      <c r="D114" s="43">
        <f aca="true" t="shared" si="27" ref="D114:K114">+D115+D117+D119</f>
        <v>19418442</v>
      </c>
      <c r="E114" s="43">
        <f t="shared" si="27"/>
        <v>0</v>
      </c>
      <c r="F114" s="43">
        <f t="shared" si="27"/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19418442</v>
      </c>
      <c r="K114" s="41">
        <f t="shared" si="27"/>
        <v>22418442</v>
      </c>
    </row>
    <row r="115" spans="1:11" ht="12" customHeight="1">
      <c r="A115" s="312" t="s">
        <v>154</v>
      </c>
      <c r="B115" s="122" t="s">
        <v>344</v>
      </c>
      <c r="C115" s="48"/>
      <c r="D115" s="50">
        <v>19418442</v>
      </c>
      <c r="E115" s="50"/>
      <c r="F115" s="50"/>
      <c r="G115" s="50"/>
      <c r="H115" s="50"/>
      <c r="I115" s="50"/>
      <c r="J115" s="51">
        <f aca="true" t="shared" si="28" ref="J115:J127">D115+E115+F115+G115+H115+I115</f>
        <v>19418442</v>
      </c>
      <c r="K115" s="313">
        <f aca="true" t="shared" si="29" ref="K115:K127">C115+J115</f>
        <v>19418442</v>
      </c>
    </row>
    <row r="116" spans="1:11" ht="12" customHeight="1">
      <c r="A116" s="312" t="s">
        <v>156</v>
      </c>
      <c r="B116" s="133" t="s">
        <v>345</v>
      </c>
      <c r="C116" s="48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55"/>
      <c r="D117" s="67"/>
      <c r="E117" s="67"/>
      <c r="F117" s="67"/>
      <c r="G117" s="67"/>
      <c r="H117" s="67"/>
      <c r="I117" s="67"/>
      <c r="J117" s="83">
        <f t="shared" si="28"/>
        <v>0</v>
      </c>
      <c r="K117" s="318">
        <f t="shared" si="29"/>
        <v>0</v>
      </c>
    </row>
    <row r="118" spans="1:11" ht="12" customHeight="1">
      <c r="A118" s="312" t="s">
        <v>160</v>
      </c>
      <c r="B118" s="133" t="s">
        <v>347</v>
      </c>
      <c r="C118" s="136"/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0</v>
      </c>
    </row>
    <row r="119" spans="1:11" ht="12" customHeight="1">
      <c r="A119" s="312" t="s">
        <v>162</v>
      </c>
      <c r="B119" s="59" t="s">
        <v>348</v>
      </c>
      <c r="C119" s="136">
        <v>3000000</v>
      </c>
      <c r="D119" s="67"/>
      <c r="E119" s="67"/>
      <c r="F119" s="67"/>
      <c r="G119" s="67"/>
      <c r="H119" s="67"/>
      <c r="I119" s="67"/>
      <c r="J119" s="83">
        <f t="shared" si="28"/>
        <v>0</v>
      </c>
      <c r="K119" s="318">
        <f t="shared" si="29"/>
        <v>3000000</v>
      </c>
    </row>
    <row r="120" spans="1:11" ht="12" customHeight="1">
      <c r="A120" s="312" t="s">
        <v>164</v>
      </c>
      <c r="B120" s="57" t="s">
        <v>349</v>
      </c>
      <c r="C120" s="136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136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136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136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136"/>
      <c r="D125" s="67"/>
      <c r="E125" s="67"/>
      <c r="F125" s="67"/>
      <c r="G125" s="67"/>
      <c r="H125" s="67"/>
      <c r="I125" s="67"/>
      <c r="J125" s="83">
        <f t="shared" si="28"/>
        <v>0</v>
      </c>
      <c r="K125" s="318">
        <f t="shared" si="29"/>
        <v>0</v>
      </c>
    </row>
    <row r="126" spans="1:11" ht="12" customHeight="1">
      <c r="A126" s="312" t="s">
        <v>358</v>
      </c>
      <c r="B126" s="129" t="s">
        <v>359</v>
      </c>
      <c r="C126" s="136">
        <v>3000000</v>
      </c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3000000</v>
      </c>
    </row>
    <row r="127" spans="1:11" ht="12" customHeight="1">
      <c r="A127" s="339" t="s">
        <v>360</v>
      </c>
      <c r="B127" s="129" t="s">
        <v>361</v>
      </c>
      <c r="C127" s="138"/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0</v>
      </c>
    </row>
    <row r="128" spans="1:11" ht="12" customHeight="1">
      <c r="A128" s="110" t="s">
        <v>166</v>
      </c>
      <c r="B128" s="40" t="s">
        <v>362</v>
      </c>
      <c r="C128" s="41">
        <f>+C93+C114</f>
        <v>19303530</v>
      </c>
      <c r="D128" s="43">
        <f aca="true" t="shared" si="30" ref="D128:K128">+D93+D114</f>
        <v>23198219</v>
      </c>
      <c r="E128" s="43">
        <f t="shared" si="30"/>
        <v>1000000</v>
      </c>
      <c r="F128" s="43">
        <f t="shared" si="30"/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24198219</v>
      </c>
      <c r="K128" s="41">
        <f t="shared" si="30"/>
        <v>43501749</v>
      </c>
    </row>
    <row r="129" spans="1:11" ht="12" customHeight="1">
      <c r="A129" s="110" t="s">
        <v>363</v>
      </c>
      <c r="B129" s="40" t="s">
        <v>536</v>
      </c>
      <c r="C129" s="41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1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136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136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136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136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136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136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1">
        <f>+C141+C142+C144+C145+C143</f>
        <v>0</v>
      </c>
      <c r="D140" s="43">
        <f aca="true" t="shared" si="35" ref="D140:K140">+D141+D142+D144+D145+D143</f>
        <v>0</v>
      </c>
      <c r="E140" s="43">
        <f t="shared" si="35"/>
        <v>0</v>
      </c>
      <c r="F140" s="43">
        <f t="shared" si="35"/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0</v>
      </c>
      <c r="K140" s="41">
        <f t="shared" si="35"/>
        <v>0</v>
      </c>
      <c r="Q140" s="341"/>
    </row>
    <row r="141" spans="1:11" ht="12.75">
      <c r="A141" s="312" t="s">
        <v>222</v>
      </c>
      <c r="B141" s="139" t="s">
        <v>376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136"/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0</v>
      </c>
    </row>
    <row r="143" spans="1:11" ht="12" customHeight="1">
      <c r="A143" s="312" t="s">
        <v>226</v>
      </c>
      <c r="B143" s="139" t="s">
        <v>541</v>
      </c>
      <c r="C143" s="136"/>
      <c r="D143" s="67"/>
      <c r="E143" s="67"/>
      <c r="F143" s="67"/>
      <c r="G143" s="67"/>
      <c r="H143" s="67"/>
      <c r="I143" s="67"/>
      <c r="J143" s="83">
        <f>D143+E143+F143+G143+H143+I143</f>
        <v>0</v>
      </c>
      <c r="K143" s="318">
        <f>C143+J143</f>
        <v>0</v>
      </c>
    </row>
    <row r="144" spans="1:11" s="335" customFormat="1" ht="12" customHeight="1">
      <c r="A144" s="312" t="s">
        <v>228</v>
      </c>
      <c r="B144" s="139" t="s">
        <v>378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2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136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136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136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136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138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2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2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343">
        <f>+C129+C133+C140+C146+C152+C153</f>
        <v>0</v>
      </c>
      <c r="D154" s="154">
        <f aca="true" t="shared" si="39" ref="D154:K154">+D129+D133+D140+D146+D152+D153</f>
        <v>0</v>
      </c>
      <c r="E154" s="154">
        <f t="shared" si="39"/>
        <v>0</v>
      </c>
      <c r="F154" s="154">
        <f t="shared" si="39"/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0</v>
      </c>
      <c r="K154" s="343">
        <f t="shared" si="39"/>
        <v>0</v>
      </c>
    </row>
    <row r="155" spans="1:11" ht="15" customHeight="1">
      <c r="A155" s="344" t="s">
        <v>393</v>
      </c>
      <c r="B155" s="159" t="s">
        <v>394</v>
      </c>
      <c r="C155" s="343">
        <f>+C128+C154</f>
        <v>19303530</v>
      </c>
      <c r="D155" s="154">
        <f aca="true" t="shared" si="40" ref="D155:K155">+D128+D154</f>
        <v>23198219</v>
      </c>
      <c r="E155" s="154">
        <f t="shared" si="40"/>
        <v>1000000</v>
      </c>
      <c r="F155" s="154">
        <f t="shared" si="40"/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24198219</v>
      </c>
      <c r="K155" s="343">
        <f t="shared" si="40"/>
        <v>43501749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1">
        <v>2</v>
      </c>
      <c r="D157" s="352">
        <v>0</v>
      </c>
      <c r="E157" s="352">
        <v>0</v>
      </c>
      <c r="F157" s="352"/>
      <c r="G157" s="352"/>
      <c r="H157" s="352"/>
      <c r="I157" s="353"/>
      <c r="J157" s="354">
        <f>D157+E157+F157+G157+H157+I157</f>
        <v>0</v>
      </c>
      <c r="K157" s="142">
        <f>C157+J157</f>
        <v>2</v>
      </c>
    </row>
    <row r="158" spans="1:11" ht="14.25" customHeight="1">
      <c r="A158" s="349" t="s">
        <v>544</v>
      </c>
      <c r="B158" s="350"/>
      <c r="C158" s="351">
        <v>0</v>
      </c>
      <c r="D158" s="352">
        <v>0</v>
      </c>
      <c r="E158" s="352">
        <v>0</v>
      </c>
      <c r="F158" s="352"/>
      <c r="G158" s="352"/>
      <c r="H158" s="352"/>
      <c r="I158" s="353"/>
      <c r="J158" s="354">
        <f>D158+E158+F158+G158+H158+I158</f>
        <v>0</v>
      </c>
      <c r="K158" s="142">
        <f>C158+J158</f>
        <v>0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B1">
      <selection activeCell="K5" sqref="K5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489" t="str">
        <f>CONCATENATE("5.1.3. melléklet ",RM_ALAPADATOK!A7," ",RM_ALAPADATOK!B7," ",RM_ALAPADATOK!C7," ",RM_ALAPADATOK!D7," ",RM_ALAPADATOK!E7," ",RM_ALAPADATOK!F7," ",RM_ALAPADATOK!G7," ",RM_ALAPADATOK!H7)</f>
        <v>5.1.3. melléklet a  / 2019 (  ) önkormányzati rendelethez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294" customFormat="1" ht="21" customHeight="1">
      <c r="A2" s="292" t="s">
        <v>405</v>
      </c>
      <c r="B2" s="490" t="str">
        <f>CONCATENATE(RM_ALAPADATOK!A3)</f>
        <v>Elek Város Önkormányzata</v>
      </c>
      <c r="C2" s="490"/>
      <c r="D2" s="490"/>
      <c r="E2" s="490"/>
      <c r="F2" s="490"/>
      <c r="G2" s="490"/>
      <c r="H2" s="490"/>
      <c r="I2" s="490"/>
      <c r="J2" s="490"/>
      <c r="K2" s="293" t="s">
        <v>521</v>
      </c>
    </row>
    <row r="3" spans="1:11" s="294" customFormat="1" ht="36.75" customHeight="1">
      <c r="A3" s="292" t="s">
        <v>520</v>
      </c>
      <c r="B3" s="491" t="s">
        <v>34</v>
      </c>
      <c r="C3" s="491"/>
      <c r="D3" s="491"/>
      <c r="E3" s="491"/>
      <c r="F3" s="491"/>
      <c r="G3" s="491"/>
      <c r="H3" s="491"/>
      <c r="I3" s="491"/>
      <c r="J3" s="491"/>
      <c r="K3" s="295" t="s">
        <v>547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03" t="str">
        <f>CONCATENATE('RM_1.1.sz.mell.'!C9:K9)</f>
        <v>Eredeti
előirányzat</v>
      </c>
      <c r="D5" s="304" t="str">
        <f>CONCATENATE('RM_1.1.sz.mell.'!D9)</f>
        <v>1. sz. módosítás </v>
      </c>
      <c r="E5" s="304" t="str">
        <f>CONCATENATE('RM_1.1.sz.mell.'!E9)</f>
        <v>2. sz. módosítás </v>
      </c>
      <c r="F5" s="304" t="str">
        <f>CONCATENATE('RM_1.1.sz.mell.'!F9)</f>
        <v>3. sz. módosítás </v>
      </c>
      <c r="G5" s="304" t="str">
        <f>CONCATENATE('RM_1.1.sz.mell.'!G9)</f>
        <v>4. sz. módosítás </v>
      </c>
      <c r="H5" s="304" t="str">
        <f>CONCATENATE('RM_1.1.sz.mell.'!H9)</f>
        <v>.5. sz. módosítás </v>
      </c>
      <c r="I5" s="304" t="str">
        <f>CONCATENATE('RM_1.1.sz.mell.'!I9)</f>
        <v>6. sz. módosítás </v>
      </c>
      <c r="J5" s="304" t="s">
        <v>126</v>
      </c>
      <c r="K5" s="305" t="str">
        <f>CONCATENATE('RM_5.1.2.sz.mell'!K5)</f>
        <v>2.számú módosítás utáni előirányzat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488" t="s">
        <v>403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</row>
    <row r="8" spans="1:11" s="311" customFormat="1" ht="12" customHeight="1">
      <c r="A8" s="110" t="s">
        <v>138</v>
      </c>
      <c r="B8" s="40" t="s">
        <v>139</v>
      </c>
      <c r="C8" s="43">
        <f>+C9+C10+C11+C12+C13+C14</f>
        <v>0</v>
      </c>
      <c r="D8" s="42">
        <f aca="true" t="shared" si="0" ref="D8:I8">+D9+D10+D11+D12+D13+D14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0</v>
      </c>
      <c r="K8" s="41">
        <f>+K9+K10+K11+K12+K13+K14</f>
        <v>0</v>
      </c>
    </row>
    <row r="9" spans="1:11" s="314" customFormat="1" ht="12" customHeight="1">
      <c r="A9" s="312" t="s">
        <v>140</v>
      </c>
      <c r="B9" s="47" t="s">
        <v>141</v>
      </c>
      <c r="C9" s="50"/>
      <c r="D9" s="49"/>
      <c r="E9" s="49"/>
      <c r="F9" s="49"/>
      <c r="G9" s="49"/>
      <c r="H9" s="49"/>
      <c r="I9" s="50"/>
      <c r="J9" s="51">
        <f>D9+E9+F9+G9+H9+I9</f>
        <v>0</v>
      </c>
      <c r="K9" s="313">
        <f aca="true" t="shared" si="1" ref="K9:K14">C9+J9</f>
        <v>0</v>
      </c>
    </row>
    <row r="10" spans="1:11" s="316" customFormat="1" ht="12" customHeight="1">
      <c r="A10" s="315" t="s">
        <v>142</v>
      </c>
      <c r="B10" s="54" t="s">
        <v>143</v>
      </c>
      <c r="C10" s="50"/>
      <c r="D10" s="56"/>
      <c r="E10" s="56"/>
      <c r="F10" s="56"/>
      <c r="G10" s="56"/>
      <c r="H10" s="56"/>
      <c r="I10" s="67"/>
      <c r="J10" s="51">
        <f aca="true" t="shared" si="2" ref="J10:J64">D10+E10+F10+G10+H10+I10</f>
        <v>0</v>
      </c>
      <c r="K10" s="313">
        <f t="shared" si="1"/>
        <v>0</v>
      </c>
    </row>
    <row r="11" spans="1:11" s="316" customFormat="1" ht="12" customHeight="1">
      <c r="A11" s="315" t="s">
        <v>144</v>
      </c>
      <c r="B11" s="54" t="s">
        <v>145</v>
      </c>
      <c r="C11" s="50"/>
      <c r="D11" s="56"/>
      <c r="E11" s="56"/>
      <c r="F11" s="56"/>
      <c r="G11" s="56"/>
      <c r="H11" s="56"/>
      <c r="I11" s="67"/>
      <c r="J11" s="51">
        <f t="shared" si="2"/>
        <v>0</v>
      </c>
      <c r="K11" s="313">
        <f t="shared" si="1"/>
        <v>0</v>
      </c>
    </row>
    <row r="12" spans="1:11" s="316" customFormat="1" ht="12" customHeight="1">
      <c r="A12" s="315" t="s">
        <v>146</v>
      </c>
      <c r="B12" s="54" t="s">
        <v>147</v>
      </c>
      <c r="C12" s="50"/>
      <c r="D12" s="56"/>
      <c r="E12" s="56"/>
      <c r="F12" s="56"/>
      <c r="G12" s="56"/>
      <c r="H12" s="56"/>
      <c r="I12" s="67"/>
      <c r="J12" s="51">
        <f t="shared" si="2"/>
        <v>0</v>
      </c>
      <c r="K12" s="313">
        <f t="shared" si="1"/>
        <v>0</v>
      </c>
    </row>
    <row r="13" spans="1:11" s="316" customFormat="1" ht="12" customHeight="1">
      <c r="A13" s="315" t="s">
        <v>148</v>
      </c>
      <c r="B13" s="54" t="s">
        <v>524</v>
      </c>
      <c r="C13" s="50"/>
      <c r="D13" s="56"/>
      <c r="E13" s="56"/>
      <c r="F13" s="56"/>
      <c r="G13" s="56"/>
      <c r="H13" s="56"/>
      <c r="I13" s="67"/>
      <c r="J13" s="51">
        <f t="shared" si="2"/>
        <v>0</v>
      </c>
      <c r="K13" s="313">
        <f t="shared" si="1"/>
        <v>0</v>
      </c>
    </row>
    <row r="14" spans="1:11" s="314" customFormat="1" ht="12" customHeight="1">
      <c r="A14" s="317" t="s">
        <v>150</v>
      </c>
      <c r="B14" s="64" t="s">
        <v>151</v>
      </c>
      <c r="C14" s="50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3">
        <f>+C16+C17+C18+C19+C20</f>
        <v>0</v>
      </c>
      <c r="D15" s="42">
        <f aca="true" t="shared" si="3" ref="D15:K15">+D16+D17+D18+D19+D20</f>
        <v>0</v>
      </c>
      <c r="E15" s="42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0</v>
      </c>
      <c r="K15" s="41">
        <f t="shared" si="3"/>
        <v>0</v>
      </c>
    </row>
    <row r="16" spans="1:11" s="314" customFormat="1" ht="12" customHeight="1">
      <c r="A16" s="312" t="s">
        <v>154</v>
      </c>
      <c r="B16" s="47" t="s">
        <v>155</v>
      </c>
      <c r="C16" s="50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0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0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0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0"/>
      <c r="D20" s="56"/>
      <c r="E20" s="56"/>
      <c r="F20" s="56"/>
      <c r="G20" s="56"/>
      <c r="H20" s="56"/>
      <c r="I20" s="67"/>
      <c r="J20" s="83">
        <f t="shared" si="2"/>
        <v>0</v>
      </c>
      <c r="K20" s="318">
        <f t="shared" si="4"/>
        <v>0</v>
      </c>
    </row>
    <row r="21" spans="1:11" s="316" customFormat="1" ht="12" customHeight="1">
      <c r="A21" s="317" t="s">
        <v>164</v>
      </c>
      <c r="B21" s="64" t="s">
        <v>165</v>
      </c>
      <c r="C21" s="50"/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0</v>
      </c>
    </row>
    <row r="22" spans="1:11" s="316" customFormat="1" ht="12" customHeight="1">
      <c r="A22" s="110" t="s">
        <v>166</v>
      </c>
      <c r="B22" s="40" t="s">
        <v>167</v>
      </c>
      <c r="C22" s="43">
        <f>+C23+C24+C25+C26+C27</f>
        <v>0</v>
      </c>
      <c r="D22" s="42">
        <f aca="true" t="shared" si="5" ref="D22:K22">+D23+D24+D25+D26+D27</f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0</v>
      </c>
      <c r="K22" s="41">
        <f t="shared" si="5"/>
        <v>0</v>
      </c>
    </row>
    <row r="23" spans="1:11" s="316" customFormat="1" ht="12" customHeight="1">
      <c r="A23" s="312" t="s">
        <v>168</v>
      </c>
      <c r="B23" s="47" t="s">
        <v>169</v>
      </c>
      <c r="C23" s="50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67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67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67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67"/>
      <c r="D27" s="56"/>
      <c r="E27" s="56"/>
      <c r="F27" s="56"/>
      <c r="G27" s="56"/>
      <c r="H27" s="56"/>
      <c r="I27" s="67"/>
      <c r="J27" s="83">
        <f t="shared" si="2"/>
        <v>0</v>
      </c>
      <c r="K27" s="318">
        <f t="shared" si="6"/>
        <v>0</v>
      </c>
    </row>
    <row r="28" spans="1:11" s="316" customFormat="1" ht="12" customHeight="1">
      <c r="A28" s="317" t="s">
        <v>178</v>
      </c>
      <c r="B28" s="64" t="s">
        <v>179</v>
      </c>
      <c r="C28" s="69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3">
        <f>+C30+C31+C32+C33+C34+C35+C36</f>
        <v>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0</v>
      </c>
    </row>
    <row r="30" spans="1:11" s="316" customFormat="1" ht="12" customHeight="1">
      <c r="A30" s="312" t="s">
        <v>182</v>
      </c>
      <c r="B30" s="47" t="s">
        <v>183</v>
      </c>
      <c r="C30" s="50"/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0</v>
      </c>
    </row>
    <row r="31" spans="1:11" s="316" customFormat="1" ht="12" customHeight="1">
      <c r="A31" s="315" t="s">
        <v>184</v>
      </c>
      <c r="B31" s="54" t="s">
        <v>185</v>
      </c>
      <c r="C31" s="67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67"/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0</v>
      </c>
    </row>
    <row r="33" spans="1:11" s="316" customFormat="1" ht="12" customHeight="1">
      <c r="A33" s="315" t="s">
        <v>188</v>
      </c>
      <c r="B33" s="54" t="s">
        <v>189</v>
      </c>
      <c r="C33" s="67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67"/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0</v>
      </c>
    </row>
    <row r="35" spans="1:11" s="316" customFormat="1" ht="12" customHeight="1">
      <c r="A35" s="315" t="s">
        <v>192</v>
      </c>
      <c r="B35" s="54" t="s">
        <v>193</v>
      </c>
      <c r="C35" s="67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9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3">
        <f>SUM(C38:C48)</f>
        <v>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0</v>
      </c>
    </row>
    <row r="38" spans="1:11" s="316" customFormat="1" ht="12" customHeight="1">
      <c r="A38" s="312" t="s">
        <v>198</v>
      </c>
      <c r="B38" s="47" t="s">
        <v>199</v>
      </c>
      <c r="C38" s="50"/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0</v>
      </c>
    </row>
    <row r="39" spans="1:11" s="316" customFormat="1" ht="12" customHeight="1">
      <c r="A39" s="315" t="s">
        <v>200</v>
      </c>
      <c r="B39" s="54" t="s">
        <v>201</v>
      </c>
      <c r="C39" s="67"/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0</v>
      </c>
    </row>
    <row r="40" spans="1:11" s="316" customFormat="1" ht="12" customHeight="1">
      <c r="A40" s="315" t="s">
        <v>202</v>
      </c>
      <c r="B40" s="54" t="s">
        <v>203</v>
      </c>
      <c r="C40" s="67"/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0</v>
      </c>
    </row>
    <row r="41" spans="1:11" s="316" customFormat="1" ht="12" customHeight="1">
      <c r="A41" s="315" t="s">
        <v>204</v>
      </c>
      <c r="B41" s="54" t="s">
        <v>205</v>
      </c>
      <c r="C41" s="67"/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0</v>
      </c>
    </row>
    <row r="42" spans="1:11" s="316" customFormat="1" ht="12" customHeight="1">
      <c r="A42" s="315" t="s">
        <v>206</v>
      </c>
      <c r="B42" s="54" t="s">
        <v>207</v>
      </c>
      <c r="C42" s="67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67"/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0</v>
      </c>
    </row>
    <row r="44" spans="1:11" s="316" customFormat="1" ht="12" customHeight="1">
      <c r="A44" s="315" t="s">
        <v>210</v>
      </c>
      <c r="B44" s="54" t="s">
        <v>211</v>
      </c>
      <c r="C44" s="67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67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67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9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9"/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0</v>
      </c>
    </row>
    <row r="49" spans="1:11" s="316" customFormat="1" ht="12" customHeight="1">
      <c r="A49" s="110" t="s">
        <v>220</v>
      </c>
      <c r="B49" s="40" t="s">
        <v>221</v>
      </c>
      <c r="C49" s="43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50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67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67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67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74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3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50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67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67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9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3">
        <f>SUM(C61:C63)</f>
        <v>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0</v>
      </c>
    </row>
    <row r="61" spans="1:11" s="316" customFormat="1" ht="12" customHeight="1">
      <c r="A61" s="312" t="s">
        <v>244</v>
      </c>
      <c r="B61" s="47" t="s">
        <v>245</v>
      </c>
      <c r="C61" s="67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67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67"/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0</v>
      </c>
    </row>
    <row r="64" spans="1:11" s="316" customFormat="1" ht="12" customHeight="1">
      <c r="A64" s="317" t="s">
        <v>250</v>
      </c>
      <c r="B64" s="64" t="s">
        <v>251</v>
      </c>
      <c r="C64" s="67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3">
        <f>+C8+C15+C22+C29+C37+C49+C55+C60</f>
        <v>0</v>
      </c>
      <c r="D65" s="42">
        <f aca="true" t="shared" si="14" ref="D65:K65">+D8+D15+D22+D29+D37+D49+D55+D60</f>
        <v>0</v>
      </c>
      <c r="E65" s="42">
        <f t="shared" si="14"/>
        <v>0</v>
      </c>
      <c r="F65" s="42">
        <f t="shared" si="14"/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0</v>
      </c>
      <c r="K65" s="41">
        <f t="shared" si="14"/>
        <v>0</v>
      </c>
    </row>
    <row r="66" spans="1:11" s="316" customFormat="1" ht="12" customHeight="1">
      <c r="A66" s="324" t="s">
        <v>526</v>
      </c>
      <c r="B66" s="60" t="s">
        <v>255</v>
      </c>
      <c r="C66" s="43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67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67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74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3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67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67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67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67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3">
        <f>SUM(C76:C77)</f>
        <v>0</v>
      </c>
      <c r="D75" s="43">
        <f aca="true" t="shared" si="17" ref="D75:K75">SUM(D76:D77)</f>
        <v>0</v>
      </c>
      <c r="E75" s="43">
        <f t="shared" si="17"/>
        <v>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0</v>
      </c>
      <c r="K75" s="41">
        <f t="shared" si="17"/>
        <v>0</v>
      </c>
    </row>
    <row r="76" spans="1:11" s="316" customFormat="1" ht="12" customHeight="1">
      <c r="A76" s="312" t="s">
        <v>274</v>
      </c>
      <c r="B76" s="47" t="s">
        <v>275</v>
      </c>
      <c r="C76" s="67"/>
      <c r="D76" s="67"/>
      <c r="E76" s="67"/>
      <c r="F76" s="67"/>
      <c r="G76" s="67"/>
      <c r="H76" s="67"/>
      <c r="I76" s="67"/>
      <c r="J76" s="83">
        <f>D76+E76+F76+G76+H76+I76</f>
        <v>0</v>
      </c>
      <c r="K76" s="318">
        <f>C76+J76</f>
        <v>0</v>
      </c>
    </row>
    <row r="77" spans="1:11" s="316" customFormat="1" ht="12" customHeight="1">
      <c r="A77" s="317" t="s">
        <v>276</v>
      </c>
      <c r="B77" s="64" t="s">
        <v>277</v>
      </c>
      <c r="C77" s="67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3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67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67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67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3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67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67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67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67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100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100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3">
        <f>+C66+C70+C75+C78+C82+C88+C87</f>
        <v>0</v>
      </c>
      <c r="D89" s="43">
        <f aca="true" t="shared" si="22" ref="D89:K89">+D66+D70+D75+D78+D82+D88+D87</f>
        <v>0</v>
      </c>
      <c r="E89" s="43">
        <f t="shared" si="22"/>
        <v>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0</v>
      </c>
      <c r="K89" s="41">
        <f t="shared" si="22"/>
        <v>0</v>
      </c>
    </row>
    <row r="90" spans="1:11" s="314" customFormat="1" ht="12" customHeight="1">
      <c r="A90" s="330" t="s">
        <v>530</v>
      </c>
      <c r="B90" s="92" t="s">
        <v>531</v>
      </c>
      <c r="C90" s="43">
        <f>+C65+C89</f>
        <v>0</v>
      </c>
      <c r="D90" s="43">
        <f aca="true" t="shared" si="23" ref="D90:K90">+D65+D89</f>
        <v>0</v>
      </c>
      <c r="E90" s="43">
        <f t="shared" si="23"/>
        <v>0</v>
      </c>
      <c r="F90" s="43">
        <f t="shared" si="23"/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0</v>
      </c>
      <c r="K90" s="41">
        <f t="shared" si="23"/>
        <v>0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488" t="s">
        <v>404</v>
      </c>
      <c r="B92" s="488"/>
      <c r="C92" s="488"/>
      <c r="D92" s="488"/>
      <c r="E92" s="488"/>
      <c r="F92" s="488"/>
      <c r="G92" s="488"/>
      <c r="H92" s="488"/>
      <c r="I92" s="488"/>
      <c r="J92" s="488"/>
      <c r="K92" s="488"/>
    </row>
    <row r="93" spans="1:11" s="335" customFormat="1" ht="12" customHeight="1">
      <c r="A93" s="33" t="s">
        <v>138</v>
      </c>
      <c r="B93" s="113" t="s">
        <v>532</v>
      </c>
      <c r="C93" s="115">
        <f>+C94+C95+C96+C97+C98+C111</f>
        <v>0</v>
      </c>
      <c r="D93" s="334">
        <f aca="true" t="shared" si="24" ref="D93:K93">+D94+D95+D96+D97+D98+D111</f>
        <v>0</v>
      </c>
      <c r="E93" s="334">
        <f t="shared" si="24"/>
        <v>0</v>
      </c>
      <c r="F93" s="334">
        <f t="shared" si="24"/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0</v>
      </c>
      <c r="K93" s="114">
        <f t="shared" si="24"/>
        <v>0</v>
      </c>
    </row>
    <row r="94" spans="1:11" ht="12" customHeight="1">
      <c r="A94" s="336" t="s">
        <v>140</v>
      </c>
      <c r="B94" s="118" t="s">
        <v>308</v>
      </c>
      <c r="C94" s="119"/>
      <c r="D94" s="337"/>
      <c r="E94" s="337"/>
      <c r="F94" s="337"/>
      <c r="G94" s="337"/>
      <c r="H94" s="337"/>
      <c r="I94" s="119"/>
      <c r="J94" s="120">
        <f aca="true" t="shared" si="25" ref="J94:J113">D94+E94+F94+G94+H94+I94</f>
        <v>0</v>
      </c>
      <c r="K94" s="338">
        <f aca="true" t="shared" si="26" ref="K94:K113">C94+J94</f>
        <v>0</v>
      </c>
    </row>
    <row r="95" spans="1:11" ht="12" customHeight="1">
      <c r="A95" s="315" t="s">
        <v>142</v>
      </c>
      <c r="B95" s="122" t="s">
        <v>309</v>
      </c>
      <c r="C95" s="67"/>
      <c r="D95" s="67"/>
      <c r="E95" s="67"/>
      <c r="F95" s="67"/>
      <c r="G95" s="67"/>
      <c r="H95" s="67"/>
      <c r="I95" s="67"/>
      <c r="J95" s="83">
        <f t="shared" si="25"/>
        <v>0</v>
      </c>
      <c r="K95" s="318">
        <f t="shared" si="26"/>
        <v>0</v>
      </c>
    </row>
    <row r="96" spans="1:11" ht="12" customHeight="1">
      <c r="A96" s="315" t="s">
        <v>144</v>
      </c>
      <c r="B96" s="122" t="s">
        <v>310</v>
      </c>
      <c r="C96" s="69"/>
      <c r="D96" s="69"/>
      <c r="E96" s="69"/>
      <c r="F96" s="69"/>
      <c r="G96" s="69"/>
      <c r="H96" s="67"/>
      <c r="I96" s="69"/>
      <c r="J96" s="123">
        <f t="shared" si="25"/>
        <v>0</v>
      </c>
      <c r="K96" s="319">
        <f t="shared" si="26"/>
        <v>0</v>
      </c>
    </row>
    <row r="97" spans="1:11" ht="12" customHeight="1">
      <c r="A97" s="315" t="s">
        <v>146</v>
      </c>
      <c r="B97" s="125" t="s">
        <v>311</v>
      </c>
      <c r="C97" s="69"/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0</v>
      </c>
    </row>
    <row r="98" spans="1:11" ht="12" customHeight="1">
      <c r="A98" s="315" t="s">
        <v>312</v>
      </c>
      <c r="B98" s="126" t="s">
        <v>313</v>
      </c>
      <c r="C98" s="69"/>
      <c r="D98" s="69"/>
      <c r="E98" s="69"/>
      <c r="F98" s="69"/>
      <c r="G98" s="69"/>
      <c r="H98" s="69"/>
      <c r="I98" s="69"/>
      <c r="J98" s="123">
        <f t="shared" si="25"/>
        <v>0</v>
      </c>
      <c r="K98" s="319">
        <f t="shared" si="26"/>
        <v>0</v>
      </c>
    </row>
    <row r="99" spans="1:11" ht="12" customHeight="1">
      <c r="A99" s="315" t="s">
        <v>150</v>
      </c>
      <c r="B99" s="122" t="s">
        <v>533</v>
      </c>
      <c r="C99" s="69"/>
      <c r="D99" s="69"/>
      <c r="E99" s="69"/>
      <c r="F99" s="69"/>
      <c r="G99" s="69"/>
      <c r="H99" s="69"/>
      <c r="I99" s="69"/>
      <c r="J99" s="123">
        <f t="shared" si="25"/>
        <v>0</v>
      </c>
      <c r="K99" s="319">
        <f t="shared" si="26"/>
        <v>0</v>
      </c>
    </row>
    <row r="100" spans="1:11" ht="12" customHeight="1">
      <c r="A100" s="315" t="s">
        <v>315</v>
      </c>
      <c r="B100" s="128" t="s">
        <v>316</v>
      </c>
      <c r="C100" s="69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9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9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9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9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9"/>
      <c r="D105" s="69"/>
      <c r="E105" s="69"/>
      <c r="F105" s="69"/>
      <c r="G105" s="69"/>
      <c r="H105" s="69"/>
      <c r="I105" s="69"/>
      <c r="J105" s="123">
        <f t="shared" si="25"/>
        <v>0</v>
      </c>
      <c r="K105" s="319">
        <f t="shared" si="26"/>
        <v>0</v>
      </c>
    </row>
    <row r="106" spans="1:11" ht="12" customHeight="1">
      <c r="A106" s="315" t="s">
        <v>327</v>
      </c>
      <c r="B106" s="128" t="s">
        <v>328</v>
      </c>
      <c r="C106" s="69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7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9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9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67"/>
      <c r="D110" s="67"/>
      <c r="E110" s="67"/>
      <c r="F110" s="67"/>
      <c r="G110" s="67"/>
      <c r="H110" s="67"/>
      <c r="I110" s="67"/>
      <c r="J110" s="83">
        <f t="shared" si="25"/>
        <v>0</v>
      </c>
      <c r="K110" s="318">
        <f t="shared" si="26"/>
        <v>0</v>
      </c>
    </row>
    <row r="111" spans="1:11" ht="12" customHeight="1">
      <c r="A111" s="315" t="s">
        <v>337</v>
      </c>
      <c r="B111" s="125" t="s">
        <v>338</v>
      </c>
      <c r="C111" s="67"/>
      <c r="D111" s="67"/>
      <c r="E111" s="67"/>
      <c r="F111" s="67"/>
      <c r="G111" s="67"/>
      <c r="H111" s="67"/>
      <c r="I111" s="67"/>
      <c r="J111" s="83">
        <f t="shared" si="25"/>
        <v>0</v>
      </c>
      <c r="K111" s="318">
        <f t="shared" si="26"/>
        <v>0</v>
      </c>
    </row>
    <row r="112" spans="1:11" ht="12" customHeight="1">
      <c r="A112" s="317" t="s">
        <v>339</v>
      </c>
      <c r="B112" s="122" t="s">
        <v>534</v>
      </c>
      <c r="C112" s="69"/>
      <c r="D112" s="69"/>
      <c r="E112" s="69"/>
      <c r="F112" s="69"/>
      <c r="G112" s="69"/>
      <c r="H112" s="69"/>
      <c r="I112" s="69"/>
      <c r="J112" s="123">
        <f t="shared" si="25"/>
        <v>0</v>
      </c>
      <c r="K112" s="319">
        <f t="shared" si="26"/>
        <v>0</v>
      </c>
    </row>
    <row r="113" spans="1:11" ht="12" customHeight="1">
      <c r="A113" s="321" t="s">
        <v>341</v>
      </c>
      <c r="B113" s="340" t="s">
        <v>535</v>
      </c>
      <c r="C113" s="74"/>
      <c r="D113" s="74"/>
      <c r="E113" s="74"/>
      <c r="F113" s="74"/>
      <c r="G113" s="74"/>
      <c r="H113" s="74"/>
      <c r="I113" s="74"/>
      <c r="J113" s="75">
        <f t="shared" si="25"/>
        <v>0</v>
      </c>
      <c r="K113" s="323">
        <f t="shared" si="26"/>
        <v>0</v>
      </c>
    </row>
    <row r="114" spans="1:11" ht="12" customHeight="1">
      <c r="A114" s="110" t="s">
        <v>152</v>
      </c>
      <c r="B114" s="164" t="s">
        <v>343</v>
      </c>
      <c r="C114" s="43">
        <f>+C115+C117+C119</f>
        <v>0</v>
      </c>
      <c r="D114" s="43">
        <f aca="true" t="shared" si="27" ref="D114:K114">+D115+D117+D119</f>
        <v>0</v>
      </c>
      <c r="E114" s="43">
        <f t="shared" si="27"/>
        <v>0</v>
      </c>
      <c r="F114" s="43">
        <f t="shared" si="27"/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0</v>
      </c>
      <c r="K114" s="41">
        <f t="shared" si="27"/>
        <v>0</v>
      </c>
    </row>
    <row r="115" spans="1:11" ht="12" customHeight="1">
      <c r="A115" s="312" t="s">
        <v>154</v>
      </c>
      <c r="B115" s="122" t="s">
        <v>344</v>
      </c>
      <c r="C115" s="50"/>
      <c r="D115" s="50"/>
      <c r="E115" s="50"/>
      <c r="F115" s="50"/>
      <c r="G115" s="50"/>
      <c r="H115" s="50"/>
      <c r="I115" s="50"/>
      <c r="J115" s="51">
        <f aca="true" t="shared" si="28" ref="J115:J127">D115+E115+F115+G115+H115+I115</f>
        <v>0</v>
      </c>
      <c r="K115" s="313">
        <f aca="true" t="shared" si="29" ref="K115:K127">C115+J115</f>
        <v>0</v>
      </c>
    </row>
    <row r="116" spans="1:11" ht="12" customHeight="1">
      <c r="A116" s="312" t="s">
        <v>156</v>
      </c>
      <c r="B116" s="133" t="s">
        <v>345</v>
      </c>
      <c r="C116" s="50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67"/>
      <c r="D117" s="67"/>
      <c r="E117" s="67"/>
      <c r="F117" s="67"/>
      <c r="G117" s="67"/>
      <c r="H117" s="67"/>
      <c r="I117" s="67"/>
      <c r="J117" s="83">
        <f t="shared" si="28"/>
        <v>0</v>
      </c>
      <c r="K117" s="318">
        <f t="shared" si="29"/>
        <v>0</v>
      </c>
    </row>
    <row r="118" spans="1:11" ht="12" customHeight="1">
      <c r="A118" s="312" t="s">
        <v>160</v>
      </c>
      <c r="B118" s="133" t="s">
        <v>347</v>
      </c>
      <c r="C118" s="67"/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0</v>
      </c>
    </row>
    <row r="119" spans="1:11" ht="12" customHeight="1">
      <c r="A119" s="312" t="s">
        <v>162</v>
      </c>
      <c r="B119" s="59" t="s">
        <v>348</v>
      </c>
      <c r="C119" s="67"/>
      <c r="D119" s="67"/>
      <c r="E119" s="67"/>
      <c r="F119" s="67"/>
      <c r="G119" s="67"/>
      <c r="H119" s="67"/>
      <c r="I119" s="67"/>
      <c r="J119" s="83">
        <f t="shared" si="28"/>
        <v>0</v>
      </c>
      <c r="K119" s="318">
        <f t="shared" si="29"/>
        <v>0</v>
      </c>
    </row>
    <row r="120" spans="1:11" ht="12" customHeight="1">
      <c r="A120" s="312" t="s">
        <v>164</v>
      </c>
      <c r="B120" s="57" t="s">
        <v>349</v>
      </c>
      <c r="C120" s="67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67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67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67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67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67"/>
      <c r="D125" s="67"/>
      <c r="E125" s="67"/>
      <c r="F125" s="67"/>
      <c r="G125" s="67"/>
      <c r="H125" s="67"/>
      <c r="I125" s="67"/>
      <c r="J125" s="83">
        <f t="shared" si="28"/>
        <v>0</v>
      </c>
      <c r="K125" s="318">
        <f t="shared" si="29"/>
        <v>0</v>
      </c>
    </row>
    <row r="126" spans="1:11" ht="12" customHeight="1">
      <c r="A126" s="312" t="s">
        <v>358</v>
      </c>
      <c r="B126" s="129" t="s">
        <v>359</v>
      </c>
      <c r="C126" s="67"/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0</v>
      </c>
    </row>
    <row r="127" spans="1:11" ht="12" customHeight="1">
      <c r="A127" s="339" t="s">
        <v>360</v>
      </c>
      <c r="B127" s="129" t="s">
        <v>361</v>
      </c>
      <c r="C127" s="69"/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0</v>
      </c>
    </row>
    <row r="128" spans="1:11" ht="12" customHeight="1">
      <c r="A128" s="110" t="s">
        <v>166</v>
      </c>
      <c r="B128" s="40" t="s">
        <v>362</v>
      </c>
      <c r="C128" s="43">
        <f>+C93+C114</f>
        <v>0</v>
      </c>
      <c r="D128" s="43">
        <f aca="true" t="shared" si="30" ref="D128:K128">+D93+D114</f>
        <v>0</v>
      </c>
      <c r="E128" s="43">
        <f t="shared" si="30"/>
        <v>0</v>
      </c>
      <c r="F128" s="43">
        <f t="shared" si="30"/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0</v>
      </c>
      <c r="K128" s="41">
        <f t="shared" si="30"/>
        <v>0</v>
      </c>
    </row>
    <row r="129" spans="1:11" ht="12" customHeight="1">
      <c r="A129" s="110" t="s">
        <v>363</v>
      </c>
      <c r="B129" s="40" t="s">
        <v>536</v>
      </c>
      <c r="C129" s="43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67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67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67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3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67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67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67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67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67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67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3">
        <f>+C141+C142+C144+C145+C143</f>
        <v>0</v>
      </c>
      <c r="D140" s="43">
        <f aca="true" t="shared" si="35" ref="D140:K140">+D141+D142+D144+D145+D143</f>
        <v>0</v>
      </c>
      <c r="E140" s="43">
        <f t="shared" si="35"/>
        <v>0</v>
      </c>
      <c r="F140" s="43">
        <f t="shared" si="35"/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0</v>
      </c>
      <c r="K140" s="41">
        <f t="shared" si="35"/>
        <v>0</v>
      </c>
      <c r="Q140" s="341"/>
    </row>
    <row r="141" spans="1:11" ht="12.75">
      <c r="A141" s="312" t="s">
        <v>222</v>
      </c>
      <c r="B141" s="139" t="s">
        <v>376</v>
      </c>
      <c r="C141" s="67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67"/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0</v>
      </c>
    </row>
    <row r="143" spans="1:11" ht="12" customHeight="1">
      <c r="A143" s="312" t="s">
        <v>226</v>
      </c>
      <c r="B143" s="139" t="s">
        <v>541</v>
      </c>
      <c r="C143" s="67"/>
      <c r="D143" s="67"/>
      <c r="E143" s="67"/>
      <c r="F143" s="67"/>
      <c r="G143" s="67"/>
      <c r="H143" s="67"/>
      <c r="I143" s="67"/>
      <c r="J143" s="83">
        <f>D143+E143+F143+G143+H143+I143</f>
        <v>0</v>
      </c>
      <c r="K143" s="318">
        <f>C143+J143</f>
        <v>0</v>
      </c>
    </row>
    <row r="144" spans="1:11" s="335" customFormat="1" ht="12" customHeight="1">
      <c r="A144" s="312" t="s">
        <v>228</v>
      </c>
      <c r="B144" s="139" t="s">
        <v>378</v>
      </c>
      <c r="C144" s="67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67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4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67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67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67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67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69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8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8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154">
        <f>+C129+C133+C140+C146+C152+C153</f>
        <v>0</v>
      </c>
      <c r="D154" s="154">
        <f aca="true" t="shared" si="39" ref="D154:K154">+D129+D133+D140+D146+D152+D153</f>
        <v>0</v>
      </c>
      <c r="E154" s="154">
        <f t="shared" si="39"/>
        <v>0</v>
      </c>
      <c r="F154" s="154">
        <f t="shared" si="39"/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0</v>
      </c>
      <c r="K154" s="343">
        <f t="shared" si="39"/>
        <v>0</v>
      </c>
    </row>
    <row r="155" spans="1:11" ht="15" customHeight="1">
      <c r="A155" s="344" t="s">
        <v>393</v>
      </c>
      <c r="B155" s="159" t="s">
        <v>394</v>
      </c>
      <c r="C155" s="154">
        <f>+C128+C154</f>
        <v>0</v>
      </c>
      <c r="D155" s="154">
        <f aca="true" t="shared" si="40" ref="D155:K155">+D128+D154</f>
        <v>0</v>
      </c>
      <c r="E155" s="154">
        <f t="shared" si="40"/>
        <v>0</v>
      </c>
      <c r="F155" s="154">
        <f t="shared" si="40"/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0</v>
      </c>
      <c r="K155" s="343">
        <f t="shared" si="40"/>
        <v>0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3"/>
      <c r="D157" s="352"/>
      <c r="E157" s="352"/>
      <c r="F157" s="352"/>
      <c r="G157" s="352"/>
      <c r="H157" s="352"/>
      <c r="I157" s="353"/>
      <c r="J157" s="354">
        <f>D157+E157+F157+G157+H157+I157</f>
        <v>0</v>
      </c>
      <c r="K157" s="142">
        <f>C157+J157</f>
        <v>0</v>
      </c>
    </row>
    <row r="158" spans="1:11" ht="14.25" customHeight="1">
      <c r="A158" s="349" t="s">
        <v>544</v>
      </c>
      <c r="B158" s="350"/>
      <c r="C158" s="353"/>
      <c r="D158" s="352"/>
      <c r="E158" s="352"/>
      <c r="F158" s="352"/>
      <c r="G158" s="352"/>
      <c r="H158" s="352"/>
      <c r="I158" s="353"/>
      <c r="J158" s="354">
        <f>D158+E158+F158+G158+H158+I158</f>
        <v>0</v>
      </c>
      <c r="K158" s="142">
        <f>C158+J158</f>
        <v>0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7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20" zoomScaleNormal="120" zoomScalePageLayoutView="0" workbookViewId="0" topLeftCell="A1">
      <selection activeCell="E43" sqref="E4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CONCATENATE("5.2. melléklet ",RM_ALAPADATOK!A7," ",RM_ALAPADATOK!B7," ",RM_ALAPADATOK!C7," ",RM_ALAPADATOK!D7," ",RM_ALAPADATOK!E7," ",RM_ALAPADATOK!F7," ",RM_ALAPADATOK!G7," ",RM_ALAPADATOK!H7)</f>
        <v>5.2. melléklet a  / 2019 (  ) önkormányzati rendelethez</v>
      </c>
    </row>
    <row r="2" spans="1:11" s="369" customFormat="1" ht="36" customHeight="1">
      <c r="A2" s="367" t="s">
        <v>548</v>
      </c>
      <c r="B2" s="492" t="str">
        <f>RM_ALAPADATOK!A11</f>
        <v>Eleki Közös Önkormányzati Hivatal</v>
      </c>
      <c r="C2" s="492"/>
      <c r="D2" s="492"/>
      <c r="E2" s="492"/>
      <c r="F2" s="492"/>
      <c r="G2" s="492"/>
      <c r="H2" s="492"/>
      <c r="I2" s="492"/>
      <c r="J2" s="492"/>
      <c r="K2" s="368" t="s">
        <v>545</v>
      </c>
    </row>
    <row r="3" spans="1:11" s="369" customFormat="1" ht="22.5" customHeight="1">
      <c r="A3" s="370" t="s">
        <v>520</v>
      </c>
      <c r="B3" s="493" t="s">
        <v>549</v>
      </c>
      <c r="C3" s="493"/>
      <c r="D3" s="493"/>
      <c r="E3" s="493"/>
      <c r="F3" s="493"/>
      <c r="G3" s="493"/>
      <c r="H3" s="493"/>
      <c r="I3" s="493"/>
      <c r="J3" s="493"/>
      <c r="K3" s="371" t="s">
        <v>521</v>
      </c>
    </row>
    <row r="4" spans="1:11" s="369" customFormat="1" ht="12.75" customHeight="1">
      <c r="A4" s="494" t="s">
        <v>550</v>
      </c>
      <c r="B4" s="494"/>
      <c r="C4" s="494"/>
      <c r="D4" s="494"/>
      <c r="E4" s="494"/>
      <c r="F4" s="494"/>
      <c r="G4" s="494"/>
      <c r="H4" s="494"/>
      <c r="I4" s="494"/>
      <c r="J4" s="494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CONCATENATE('RM_5.1.3.sz.mell'!K5)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465000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465000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>
        <v>140000</v>
      </c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140000</v>
      </c>
    </row>
    <row r="13" spans="1:11" s="379" customFormat="1" ht="12" customHeight="1">
      <c r="A13" s="385" t="s">
        <v>144</v>
      </c>
      <c r="B13" s="122" t="s">
        <v>203</v>
      </c>
      <c r="C13" s="199">
        <v>320000</v>
      </c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320000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5000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5000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2747743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2747743</v>
      </c>
      <c r="K22" s="212">
        <f>SUM(K23:K25)</f>
        <v>2747743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>
        <v>2747743</v>
      </c>
      <c r="F25" s="94"/>
      <c r="G25" s="94"/>
      <c r="H25" s="94"/>
      <c r="I25" s="94"/>
      <c r="J25" s="386">
        <f>D25+E25+F25+G25+H25+I25</f>
        <v>2747743</v>
      </c>
      <c r="K25" s="394">
        <f>C25+J25</f>
        <v>2747743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+C29+C30+C31</f>
        <v>0</v>
      </c>
      <c r="D28" s="210">
        <f aca="true" t="shared" si="4" ref="D28:J28">+D29+D30+D31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>+K29+K30+K31</f>
        <v>0</v>
      </c>
    </row>
    <row r="29" spans="1:11" s="387" customFormat="1" ht="12" customHeight="1">
      <c r="A29" s="391" t="s">
        <v>182</v>
      </c>
      <c r="B29" s="139" t="s">
        <v>169</v>
      </c>
      <c r="C29" s="194"/>
      <c r="D29" s="392"/>
      <c r="E29" s="392"/>
      <c r="F29" s="392"/>
      <c r="G29" s="392"/>
      <c r="H29" s="392"/>
      <c r="I29" s="392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39" t="s">
        <v>557</v>
      </c>
      <c r="C30" s="199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91" t="s">
        <v>186</v>
      </c>
      <c r="B31" s="122" t="s">
        <v>561</v>
      </c>
      <c r="C31" s="199"/>
      <c r="D31" s="94"/>
      <c r="E31" s="94"/>
      <c r="F31" s="94"/>
      <c r="G31" s="94"/>
      <c r="H31" s="94"/>
      <c r="I31" s="94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85" t="s">
        <v>188</v>
      </c>
      <c r="B32" s="141" t="s">
        <v>562</v>
      </c>
      <c r="C32" s="400"/>
      <c r="D32" s="389"/>
      <c r="E32" s="389"/>
      <c r="F32" s="389"/>
      <c r="G32" s="389"/>
      <c r="H32" s="389"/>
      <c r="I32" s="389"/>
      <c r="J32" s="393">
        <f>D32+E32+F32+G32+H32+I32</f>
        <v>0</v>
      </c>
      <c r="K32" s="384">
        <f>C32+J32</f>
        <v>0</v>
      </c>
    </row>
    <row r="33" spans="1:11" s="387" customFormat="1" ht="12" customHeight="1">
      <c r="A33" s="377" t="s">
        <v>196</v>
      </c>
      <c r="B33" s="40" t="s">
        <v>563</v>
      </c>
      <c r="C33" s="211">
        <f>+C34+C35+C36</f>
        <v>0</v>
      </c>
      <c r="D33" s="210">
        <f aca="true" t="shared" si="5" ref="D33:J33">+D34+D35+D36</f>
        <v>0</v>
      </c>
      <c r="E33" s="210">
        <f t="shared" si="5"/>
        <v>0</v>
      </c>
      <c r="F33" s="210">
        <f t="shared" si="5"/>
        <v>0</v>
      </c>
      <c r="G33" s="210">
        <f t="shared" si="5"/>
        <v>0</v>
      </c>
      <c r="H33" s="210">
        <f t="shared" si="5"/>
        <v>0</v>
      </c>
      <c r="I33" s="210">
        <f t="shared" si="5"/>
        <v>0</v>
      </c>
      <c r="J33" s="210">
        <f t="shared" si="5"/>
        <v>0</v>
      </c>
      <c r="K33" s="212">
        <f>+K34+K35+K36</f>
        <v>0</v>
      </c>
    </row>
    <row r="34" spans="1:11" s="387" customFormat="1" ht="12" customHeight="1">
      <c r="A34" s="391" t="s">
        <v>198</v>
      </c>
      <c r="B34" s="139" t="s">
        <v>223</v>
      </c>
      <c r="C34" s="194"/>
      <c r="D34" s="392"/>
      <c r="E34" s="392"/>
      <c r="F34" s="392"/>
      <c r="G34" s="392"/>
      <c r="H34" s="392"/>
      <c r="I34" s="392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91" t="s">
        <v>200</v>
      </c>
      <c r="B35" s="122" t="s">
        <v>225</v>
      </c>
      <c r="C35" s="216"/>
      <c r="D35" s="94"/>
      <c r="E35" s="94"/>
      <c r="F35" s="94"/>
      <c r="G35" s="94"/>
      <c r="H35" s="94"/>
      <c r="I35" s="94"/>
      <c r="J35" s="393">
        <f>D35+E35+F35+G35+H35+I35</f>
        <v>0</v>
      </c>
      <c r="K35" s="384">
        <f>C35+J35</f>
        <v>0</v>
      </c>
    </row>
    <row r="36" spans="1:11" s="387" customFormat="1" ht="12" customHeight="1">
      <c r="A36" s="385" t="s">
        <v>202</v>
      </c>
      <c r="B36" s="141" t="s">
        <v>227</v>
      </c>
      <c r="C36" s="400"/>
      <c r="D36" s="389"/>
      <c r="E36" s="389"/>
      <c r="F36" s="389"/>
      <c r="G36" s="389"/>
      <c r="H36" s="389"/>
      <c r="I36" s="389"/>
      <c r="J36" s="393">
        <f>D36+E36+F36+G36+H36+I36</f>
        <v>0</v>
      </c>
      <c r="K36" s="401">
        <f>C36+J36</f>
        <v>0</v>
      </c>
    </row>
    <row r="37" spans="1:11" s="379" customFormat="1" ht="12" customHeight="1">
      <c r="A37" s="377" t="s">
        <v>220</v>
      </c>
      <c r="B37" s="40" t="s">
        <v>416</v>
      </c>
      <c r="C37" s="397"/>
      <c r="D37" s="398"/>
      <c r="E37" s="398"/>
      <c r="F37" s="398"/>
      <c r="G37" s="398"/>
      <c r="H37" s="398"/>
      <c r="I37" s="398"/>
      <c r="J37" s="210">
        <f>D37+E37+F37+G37+H37+I37</f>
        <v>0</v>
      </c>
      <c r="K37" s="211">
        <f>C37+J37</f>
        <v>0</v>
      </c>
    </row>
    <row r="38" spans="1:11" s="379" customFormat="1" ht="12" customHeight="1">
      <c r="A38" s="377" t="s">
        <v>380</v>
      </c>
      <c r="B38" s="40" t="s">
        <v>564</v>
      </c>
      <c r="C38" s="402"/>
      <c r="D38" s="398"/>
      <c r="E38" s="398"/>
      <c r="F38" s="398"/>
      <c r="G38" s="398"/>
      <c r="H38" s="398"/>
      <c r="I38" s="398"/>
      <c r="J38" s="403">
        <f>D38+E38+F38+G38+H38+I38</f>
        <v>0</v>
      </c>
      <c r="K38" s="384">
        <f>C38+J38</f>
        <v>0</v>
      </c>
    </row>
    <row r="39" spans="1:11" s="379" customFormat="1" ht="12" customHeight="1">
      <c r="A39" s="377" t="s">
        <v>242</v>
      </c>
      <c r="B39" s="40" t="s">
        <v>565</v>
      </c>
      <c r="C39" s="212">
        <f>+C10+C22+C27+C28+C33+C37+C38</f>
        <v>465000</v>
      </c>
      <c r="D39" s="210">
        <f aca="true" t="shared" si="6" ref="D39:J39">+D10+D22+D27+D28+D33+D37+D38</f>
        <v>0</v>
      </c>
      <c r="E39" s="210">
        <f t="shared" si="6"/>
        <v>2747743</v>
      </c>
      <c r="F39" s="210">
        <f t="shared" si="6"/>
        <v>0</v>
      </c>
      <c r="G39" s="210">
        <f t="shared" si="6"/>
        <v>0</v>
      </c>
      <c r="H39" s="210">
        <f t="shared" si="6"/>
        <v>0</v>
      </c>
      <c r="I39" s="210">
        <f t="shared" si="6"/>
        <v>0</v>
      </c>
      <c r="J39" s="210">
        <f t="shared" si="6"/>
        <v>2747743</v>
      </c>
      <c r="K39" s="212">
        <f>+K10+K22+K27+K28+K33+K37+K38</f>
        <v>3212743</v>
      </c>
    </row>
    <row r="40" spans="1:11" s="379" customFormat="1" ht="12" customHeight="1">
      <c r="A40" s="404" t="s">
        <v>389</v>
      </c>
      <c r="B40" s="40" t="s">
        <v>566</v>
      </c>
      <c r="C40" s="212">
        <f>+C41+C42+C43</f>
        <v>122712049</v>
      </c>
      <c r="D40" s="210">
        <f aca="true" t="shared" si="7" ref="D40:J40">+D41+D42+D43</f>
        <v>367681</v>
      </c>
      <c r="E40" s="210">
        <f t="shared" si="7"/>
        <v>120459</v>
      </c>
      <c r="F40" s="210">
        <f t="shared" si="7"/>
        <v>0</v>
      </c>
      <c r="G40" s="210">
        <f t="shared" si="7"/>
        <v>0</v>
      </c>
      <c r="H40" s="210">
        <f t="shared" si="7"/>
        <v>0</v>
      </c>
      <c r="I40" s="210">
        <f t="shared" si="7"/>
        <v>0</v>
      </c>
      <c r="J40" s="210">
        <f t="shared" si="7"/>
        <v>488140</v>
      </c>
      <c r="K40" s="212">
        <f>+K41+K42+K43</f>
        <v>123200189</v>
      </c>
    </row>
    <row r="41" spans="1:11" s="379" customFormat="1" ht="12" customHeight="1">
      <c r="A41" s="391" t="s">
        <v>567</v>
      </c>
      <c r="B41" s="139" t="s">
        <v>471</v>
      </c>
      <c r="C41" s="194"/>
      <c r="D41" s="392">
        <v>267897</v>
      </c>
      <c r="E41" s="392"/>
      <c r="F41" s="392"/>
      <c r="G41" s="392"/>
      <c r="H41" s="392"/>
      <c r="I41" s="392"/>
      <c r="J41" s="393">
        <f>D41+E41+F41+G41+H41+I41</f>
        <v>267897</v>
      </c>
      <c r="K41" s="384">
        <f>C41+J41</f>
        <v>267897</v>
      </c>
    </row>
    <row r="42" spans="1:11" s="379" customFormat="1" ht="12" customHeight="1">
      <c r="A42" s="391" t="s">
        <v>568</v>
      </c>
      <c r="B42" s="122" t="s">
        <v>569</v>
      </c>
      <c r="C42" s="216"/>
      <c r="D42" s="94"/>
      <c r="E42" s="94"/>
      <c r="F42" s="94"/>
      <c r="G42" s="94"/>
      <c r="H42" s="94"/>
      <c r="I42" s="94"/>
      <c r="J42" s="393">
        <f>D42+E42+F42+G42+H42+I42</f>
        <v>0</v>
      </c>
      <c r="K42" s="394">
        <f>C42+J42</f>
        <v>0</v>
      </c>
    </row>
    <row r="43" spans="1:11" s="387" customFormat="1" ht="12" customHeight="1">
      <c r="A43" s="385" t="s">
        <v>570</v>
      </c>
      <c r="B43" s="405" t="s">
        <v>571</v>
      </c>
      <c r="C43" s="400">
        <v>122712049</v>
      </c>
      <c r="D43" s="406">
        <v>99784</v>
      </c>
      <c r="E43" s="406">
        <v>120459</v>
      </c>
      <c r="F43" s="406"/>
      <c r="G43" s="406"/>
      <c r="H43" s="406"/>
      <c r="I43" s="406"/>
      <c r="J43" s="393">
        <f>D43+E43+F43+G43+H43+I43</f>
        <v>220243</v>
      </c>
      <c r="K43" s="396">
        <f>C43+J43</f>
        <v>122932292</v>
      </c>
    </row>
    <row r="44" spans="1:11" s="387" customFormat="1" ht="12.75" customHeight="1">
      <c r="A44" s="404" t="s">
        <v>391</v>
      </c>
      <c r="B44" s="407" t="s">
        <v>572</v>
      </c>
      <c r="C44" s="212">
        <f>+C39+C40</f>
        <v>123177049</v>
      </c>
      <c r="D44" s="210">
        <f aca="true" t="shared" si="8" ref="D44:J44">+D39+D40</f>
        <v>367681</v>
      </c>
      <c r="E44" s="210">
        <f t="shared" si="8"/>
        <v>2868202</v>
      </c>
      <c r="F44" s="210">
        <f t="shared" si="8"/>
        <v>0</v>
      </c>
      <c r="G44" s="210">
        <f t="shared" si="8"/>
        <v>0</v>
      </c>
      <c r="H44" s="210">
        <f t="shared" si="8"/>
        <v>0</v>
      </c>
      <c r="I44" s="210">
        <f t="shared" si="8"/>
        <v>0</v>
      </c>
      <c r="J44" s="210">
        <f t="shared" si="8"/>
        <v>3235883</v>
      </c>
      <c r="K44" s="212">
        <f>+K39+K40</f>
        <v>126412932</v>
      </c>
    </row>
    <row r="45" spans="1:11" s="374" customFormat="1" ht="13.5" customHeight="1">
      <c r="A45" s="488" t="s">
        <v>404</v>
      </c>
      <c r="B45" s="488"/>
      <c r="C45" s="488"/>
      <c r="D45" s="488"/>
      <c r="E45" s="488"/>
      <c r="F45" s="488"/>
      <c r="G45" s="488"/>
      <c r="H45" s="488"/>
      <c r="I45" s="488"/>
      <c r="J45" s="488"/>
      <c r="K45" s="488"/>
    </row>
    <row r="46" spans="1:11" s="408" customFormat="1" ht="12" customHeight="1">
      <c r="A46" s="377" t="s">
        <v>138</v>
      </c>
      <c r="B46" s="40" t="s">
        <v>573</v>
      </c>
      <c r="C46" s="211">
        <f>SUM(C47:C51)</f>
        <v>122542049</v>
      </c>
      <c r="D46" s="165">
        <f aca="true" t="shared" si="9" ref="D46:J46">SUM(D47:D51)</f>
        <v>367681</v>
      </c>
      <c r="E46" s="165">
        <f t="shared" si="9"/>
        <v>2868202</v>
      </c>
      <c r="F46" s="165">
        <f t="shared" si="9"/>
        <v>0</v>
      </c>
      <c r="G46" s="165">
        <f t="shared" si="9"/>
        <v>0</v>
      </c>
      <c r="H46" s="165">
        <f t="shared" si="9"/>
        <v>0</v>
      </c>
      <c r="I46" s="165">
        <f t="shared" si="9"/>
        <v>0</v>
      </c>
      <c r="J46" s="165">
        <f t="shared" si="9"/>
        <v>3235883</v>
      </c>
      <c r="K46" s="211">
        <f>SUM(K47:K51)</f>
        <v>125777932</v>
      </c>
    </row>
    <row r="47" spans="1:11" ht="12" customHeight="1">
      <c r="A47" s="385" t="s">
        <v>140</v>
      </c>
      <c r="B47" s="139" t="s">
        <v>308</v>
      </c>
      <c r="C47" s="194">
        <v>88787078</v>
      </c>
      <c r="D47" s="409">
        <v>83500</v>
      </c>
      <c r="E47" s="409">
        <v>2089483</v>
      </c>
      <c r="F47" s="409"/>
      <c r="G47" s="409"/>
      <c r="H47" s="409"/>
      <c r="I47" s="409"/>
      <c r="J47" s="411">
        <f>D47+E47+F47+G47+H47+I47</f>
        <v>2172983</v>
      </c>
      <c r="K47" s="412">
        <f>C47+J47</f>
        <v>90960061</v>
      </c>
    </row>
    <row r="48" spans="1:11" ht="12" customHeight="1">
      <c r="A48" s="385" t="s">
        <v>142</v>
      </c>
      <c r="B48" s="122" t="s">
        <v>309</v>
      </c>
      <c r="C48" s="199">
        <v>17509971</v>
      </c>
      <c r="D48" s="413">
        <v>16284</v>
      </c>
      <c r="E48" s="413">
        <v>498598</v>
      </c>
      <c r="F48" s="413"/>
      <c r="G48" s="413"/>
      <c r="H48" s="413"/>
      <c r="I48" s="413"/>
      <c r="J48" s="415">
        <f>D48+E48+F48+G48+H48+I48</f>
        <v>514882</v>
      </c>
      <c r="K48" s="416">
        <f>C48+J48</f>
        <v>18024853</v>
      </c>
    </row>
    <row r="49" spans="1:11" ht="12" customHeight="1">
      <c r="A49" s="385" t="s">
        <v>144</v>
      </c>
      <c r="B49" s="122" t="s">
        <v>310</v>
      </c>
      <c r="C49" s="199">
        <v>16245000</v>
      </c>
      <c r="D49" s="413">
        <v>267897</v>
      </c>
      <c r="E49" s="413">
        <v>259092</v>
      </c>
      <c r="F49" s="413"/>
      <c r="G49" s="413"/>
      <c r="H49" s="413"/>
      <c r="I49" s="413"/>
      <c r="J49" s="415">
        <f>D49+E49+F49+G49+H49+I49</f>
        <v>526989</v>
      </c>
      <c r="K49" s="416">
        <f>C49+J49</f>
        <v>16771989</v>
      </c>
    </row>
    <row r="50" spans="1:11" ht="12" customHeight="1">
      <c r="A50" s="385" t="s">
        <v>146</v>
      </c>
      <c r="B50" s="122" t="s">
        <v>311</v>
      </c>
      <c r="C50" s="199"/>
      <c r="D50" s="413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85" t="s">
        <v>148</v>
      </c>
      <c r="B51" s="122" t="s">
        <v>313</v>
      </c>
      <c r="C51" s="199"/>
      <c r="D51" s="414"/>
      <c r="E51" s="413">
        <v>21029</v>
      </c>
      <c r="F51" s="413"/>
      <c r="G51" s="413"/>
      <c r="H51" s="413"/>
      <c r="I51" s="413"/>
      <c r="J51" s="415">
        <f>D51+E51+F51+G51+H51+I51</f>
        <v>21029</v>
      </c>
      <c r="K51" s="416">
        <f>C51+J51</f>
        <v>21029</v>
      </c>
    </row>
    <row r="52" spans="1:11" ht="12" customHeight="1">
      <c r="A52" s="377" t="s">
        <v>152</v>
      </c>
      <c r="B52" s="40" t="s">
        <v>574</v>
      </c>
      <c r="C52" s="211">
        <f>SUM(C53:C55)</f>
        <v>635000</v>
      </c>
      <c r="D52" s="165">
        <f aca="true" t="shared" si="10" ref="D52:J52">SUM(D53:D55)</f>
        <v>0</v>
      </c>
      <c r="E52" s="165">
        <f t="shared" si="10"/>
        <v>0</v>
      </c>
      <c r="F52" s="165">
        <f t="shared" si="10"/>
        <v>0</v>
      </c>
      <c r="G52" s="165">
        <f t="shared" si="10"/>
        <v>0</v>
      </c>
      <c r="H52" s="165">
        <f t="shared" si="10"/>
        <v>0</v>
      </c>
      <c r="I52" s="165">
        <f t="shared" si="10"/>
        <v>0</v>
      </c>
      <c r="J52" s="165">
        <f t="shared" si="10"/>
        <v>0</v>
      </c>
      <c r="K52" s="211">
        <f>SUM(K53:K55)</f>
        <v>635000</v>
      </c>
    </row>
    <row r="53" spans="1:11" s="408" customFormat="1" ht="12" customHeight="1">
      <c r="A53" s="385" t="s">
        <v>154</v>
      </c>
      <c r="B53" s="139" t="s">
        <v>344</v>
      </c>
      <c r="C53" s="194">
        <v>635000</v>
      </c>
      <c r="D53" s="410"/>
      <c r="E53" s="410"/>
      <c r="F53" s="410"/>
      <c r="G53" s="410"/>
      <c r="H53" s="410"/>
      <c r="I53" s="410"/>
      <c r="J53" s="411">
        <f>D53+E53+F53+G53+H53+I53</f>
        <v>0</v>
      </c>
      <c r="K53" s="412">
        <f>C53+J53</f>
        <v>635000</v>
      </c>
    </row>
    <row r="54" spans="1:11" ht="12" customHeight="1">
      <c r="A54" s="385" t="s">
        <v>156</v>
      </c>
      <c r="B54" s="122" t="s">
        <v>346</v>
      </c>
      <c r="C54" s="199"/>
      <c r="D54" s="414"/>
      <c r="E54" s="414"/>
      <c r="F54" s="414"/>
      <c r="G54" s="414"/>
      <c r="H54" s="414"/>
      <c r="I54" s="414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158</v>
      </c>
      <c r="B55" s="122" t="s">
        <v>575</v>
      </c>
      <c r="C55" s="199"/>
      <c r="D55" s="414"/>
      <c r="E55" s="414"/>
      <c r="F55" s="414"/>
      <c r="G55" s="414"/>
      <c r="H55" s="414"/>
      <c r="I55" s="414"/>
      <c r="J55" s="415">
        <f>D55+E55+F55+G55+H55+I55</f>
        <v>0</v>
      </c>
      <c r="K55" s="416">
        <f>C55+J55</f>
        <v>0</v>
      </c>
    </row>
    <row r="56" spans="1:11" ht="12" customHeight="1">
      <c r="A56" s="385" t="s">
        <v>160</v>
      </c>
      <c r="B56" s="122" t="s">
        <v>576</v>
      </c>
      <c r="C56" s="199"/>
      <c r="D56" s="414"/>
      <c r="E56" s="414"/>
      <c r="F56" s="414"/>
      <c r="G56" s="414"/>
      <c r="H56" s="414"/>
      <c r="I56" s="414"/>
      <c r="J56" s="415">
        <f>D56+E56+F56+G56+H56+I56</f>
        <v>0</v>
      </c>
      <c r="K56" s="416">
        <f>C56+J56</f>
        <v>0</v>
      </c>
    </row>
    <row r="57" spans="1:11" ht="12" customHeight="1">
      <c r="A57" s="377" t="s">
        <v>166</v>
      </c>
      <c r="B57" s="40" t="s">
        <v>577</v>
      </c>
      <c r="C57" s="397"/>
      <c r="D57" s="417"/>
      <c r="E57" s="417"/>
      <c r="F57" s="417"/>
      <c r="G57" s="417"/>
      <c r="H57" s="417"/>
      <c r="I57" s="417"/>
      <c r="J57" s="165">
        <f>D57+E57+F57+G57+H57+I57</f>
        <v>0</v>
      </c>
      <c r="K57" s="211">
        <f>C57+J57</f>
        <v>0</v>
      </c>
    </row>
    <row r="58" spans="1:11" ht="12.75" customHeight="1">
      <c r="A58" s="377" t="s">
        <v>363</v>
      </c>
      <c r="B58" s="418" t="s">
        <v>578</v>
      </c>
      <c r="C58" s="211">
        <f>+C46+C52+C57</f>
        <v>123177049</v>
      </c>
      <c r="D58" s="419">
        <f aca="true" t="shared" si="11" ref="D58:J58">+D46+D52+D57</f>
        <v>367681</v>
      </c>
      <c r="E58" s="419">
        <f t="shared" si="11"/>
        <v>2868202</v>
      </c>
      <c r="F58" s="419">
        <f t="shared" si="11"/>
        <v>0</v>
      </c>
      <c r="G58" s="419">
        <f t="shared" si="11"/>
        <v>0</v>
      </c>
      <c r="H58" s="419">
        <f t="shared" si="11"/>
        <v>0</v>
      </c>
      <c r="I58" s="419">
        <f t="shared" si="11"/>
        <v>0</v>
      </c>
      <c r="J58" s="419">
        <f t="shared" si="11"/>
        <v>3235883</v>
      </c>
      <c r="K58" s="211">
        <f>+K46+K52+K57</f>
        <v>126412932</v>
      </c>
    </row>
    <row r="59" spans="3:11" ht="13.5" customHeight="1">
      <c r="C59" s="420"/>
      <c r="D59" s="421"/>
      <c r="E59" s="421"/>
      <c r="F59" s="421"/>
      <c r="G59" s="421"/>
      <c r="H59" s="421"/>
      <c r="I59" s="421"/>
      <c r="J59" s="421"/>
      <c r="K59" s="345">
        <f>K44-K58</f>
        <v>0</v>
      </c>
    </row>
    <row r="60" spans="1:11" ht="12.75" customHeight="1">
      <c r="A60" s="349" t="s">
        <v>543</v>
      </c>
      <c r="B60" s="350"/>
      <c r="C60" s="351">
        <v>23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424">
        <f>C60+J60</f>
        <v>23</v>
      </c>
    </row>
    <row r="61" spans="1:11" ht="12.75" customHeight="1">
      <c r="A61" s="349" t="s">
        <v>544</v>
      </c>
      <c r="B61" s="350"/>
      <c r="C61" s="351">
        <v>0</v>
      </c>
      <c r="D61" s="422">
        <v>0</v>
      </c>
      <c r="E61" s="422">
        <v>0</v>
      </c>
      <c r="F61" s="422"/>
      <c r="G61" s="422"/>
      <c r="H61" s="422"/>
      <c r="I61" s="422"/>
      <c r="J61" s="423">
        <f>D61+E61+F61+G61+H61+I61</f>
        <v>0</v>
      </c>
      <c r="K61" s="351">
        <v>0</v>
      </c>
    </row>
  </sheetData>
  <sheetProtection selectLockedCells="1" selectUnlockedCells="1"/>
  <mergeCells count="16">
    <mergeCell ref="A9:K9"/>
    <mergeCell ref="A45:K45"/>
    <mergeCell ref="H5:H7"/>
    <mergeCell ref="I5:I7"/>
    <mergeCell ref="J5:J7"/>
    <mergeCell ref="K5:K7"/>
    <mergeCell ref="B2:J2"/>
    <mergeCell ref="B3:J3"/>
    <mergeCell ref="A4:J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25">
      <selection activeCell="E43" sqref="E4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CONCATENATE("5.3. melléklet ",RM_ALAPADATOK!A7," ",RM_ALAPADATOK!B7," ",RM_ALAPADATOK!C7," ",RM_ALAPADATOK!D7," ",RM_ALAPADATOK!E7," ",RM_ALAPADATOK!F7," ",RM_ALAPADATOK!G7," ",RM_ALAPADATOK!H7)</f>
        <v>5.3. melléklet a  / 2019 (  ) önkormányzati rendelethez</v>
      </c>
    </row>
    <row r="2" spans="1:11" s="369" customFormat="1" ht="36" customHeight="1">
      <c r="A2" s="367" t="s">
        <v>548</v>
      </c>
      <c r="B2" s="492" t="str">
        <f>CONCATENATE(RM_ALAPADATOK!B13)</f>
        <v>Elek Város Óvoda-Bölcsőde</v>
      </c>
      <c r="C2" s="492"/>
      <c r="D2" s="492"/>
      <c r="E2" s="492"/>
      <c r="F2" s="492"/>
      <c r="G2" s="492"/>
      <c r="H2" s="492"/>
      <c r="I2" s="492"/>
      <c r="J2" s="492"/>
      <c r="K2" s="368" t="s">
        <v>546</v>
      </c>
    </row>
    <row r="3" spans="1:11" s="369" customFormat="1" ht="22.5" customHeight="1">
      <c r="A3" s="370" t="s">
        <v>520</v>
      </c>
      <c r="B3" s="493" t="s">
        <v>549</v>
      </c>
      <c r="C3" s="493"/>
      <c r="D3" s="493"/>
      <c r="E3" s="493"/>
      <c r="F3" s="493"/>
      <c r="G3" s="493"/>
      <c r="H3" s="493"/>
      <c r="I3" s="493"/>
      <c r="J3" s="493"/>
      <c r="K3" s="371" t="s">
        <v>521</v>
      </c>
    </row>
    <row r="4" spans="1:11" s="369" customFormat="1" ht="12.75" customHeight="1">
      <c r="A4" s="494" t="s">
        <v>550</v>
      </c>
      <c r="B4" s="494"/>
      <c r="C4" s="494"/>
      <c r="D4" s="494"/>
      <c r="E4" s="494"/>
      <c r="F4" s="494"/>
      <c r="G4" s="494"/>
      <c r="H4" s="494"/>
      <c r="I4" s="494"/>
      <c r="J4" s="494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CONCATENATE('RM_5.1.3.sz.mell'!K5)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440000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440000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>
        <v>434000</v>
      </c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434000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6000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6000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440000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440000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101941315</v>
      </c>
      <c r="D39" s="210">
        <f aca="true" t="shared" si="7" ref="D39:J39">+D40+D41+D42</f>
        <v>164396</v>
      </c>
      <c r="E39" s="210">
        <f t="shared" si="7"/>
        <v>-5884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158512</v>
      </c>
      <c r="K39" s="212">
        <f>+K40+K41+K42</f>
        <v>102099827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33420</v>
      </c>
      <c r="E40" s="392"/>
      <c r="F40" s="392"/>
      <c r="G40" s="392"/>
      <c r="H40" s="392"/>
      <c r="I40" s="392"/>
      <c r="J40" s="393">
        <f>D40+E40+F40+G40+H40+I40</f>
        <v>33420</v>
      </c>
      <c r="K40" s="384">
        <f>C40+J40</f>
        <v>33420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101941315</v>
      </c>
      <c r="D42" s="406">
        <v>130976</v>
      </c>
      <c r="E42" s="406">
        <v>-5884</v>
      </c>
      <c r="F42" s="406"/>
      <c r="G42" s="406"/>
      <c r="H42" s="406"/>
      <c r="I42" s="406"/>
      <c r="J42" s="393">
        <f>D42+E42+F42+G42+H42+I42</f>
        <v>125092</v>
      </c>
      <c r="K42" s="396">
        <f>C42+J42</f>
        <v>102066407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102381315</v>
      </c>
      <c r="D43" s="210">
        <f aca="true" t="shared" si="8" ref="D43:J43">+D38+D39</f>
        <v>164396</v>
      </c>
      <c r="E43" s="210">
        <f t="shared" si="8"/>
        <v>-5884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158512</v>
      </c>
      <c r="K43" s="212">
        <f>+K38+K39</f>
        <v>102539827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102214315</v>
      </c>
      <c r="D45" s="165">
        <f aca="true" t="shared" si="9" ref="D45:J45">SUM(D46:D50)</f>
        <v>164396</v>
      </c>
      <c r="E45" s="165">
        <f t="shared" si="9"/>
        <v>-5884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158512</v>
      </c>
      <c r="K45" s="211">
        <f>SUM(K46:K50)</f>
        <v>102372827</v>
      </c>
    </row>
    <row r="46" spans="1:11" ht="12" customHeight="1">
      <c r="A46" s="385" t="s">
        <v>140</v>
      </c>
      <c r="B46" s="139" t="s">
        <v>308</v>
      </c>
      <c r="C46" s="194">
        <v>78069001</v>
      </c>
      <c r="D46" s="409">
        <v>143020</v>
      </c>
      <c r="E46" s="410">
        <v>138098</v>
      </c>
      <c r="F46" s="410"/>
      <c r="G46" s="410"/>
      <c r="H46" s="410"/>
      <c r="I46" s="410"/>
      <c r="J46" s="411">
        <f>D46+E46+F46+G46+H46+I46</f>
        <v>281118</v>
      </c>
      <c r="K46" s="412">
        <f>C46+J46</f>
        <v>78350119</v>
      </c>
    </row>
    <row r="47" spans="1:11" ht="12" customHeight="1">
      <c r="A47" s="385" t="s">
        <v>142</v>
      </c>
      <c r="B47" s="122" t="s">
        <v>309</v>
      </c>
      <c r="C47" s="199">
        <v>15221314</v>
      </c>
      <c r="D47" s="413">
        <v>21376</v>
      </c>
      <c r="E47" s="414">
        <v>26926</v>
      </c>
      <c r="F47" s="414"/>
      <c r="G47" s="414"/>
      <c r="H47" s="414"/>
      <c r="I47" s="414"/>
      <c r="J47" s="415">
        <f>D47+E47+F47+G47+H47+I47</f>
        <v>48302</v>
      </c>
      <c r="K47" s="416">
        <f>C47+J47</f>
        <v>15269616</v>
      </c>
    </row>
    <row r="48" spans="1:11" ht="12" customHeight="1">
      <c r="A48" s="385" t="s">
        <v>144</v>
      </c>
      <c r="B48" s="122" t="s">
        <v>310</v>
      </c>
      <c r="C48" s="199">
        <v>8924000</v>
      </c>
      <c r="D48" s="414"/>
      <c r="E48" s="414">
        <v>-170908</v>
      </c>
      <c r="F48" s="414"/>
      <c r="G48" s="414"/>
      <c r="H48" s="414"/>
      <c r="I48" s="414"/>
      <c r="J48" s="415">
        <f>D48+E48+F48+G48+H48+I48</f>
        <v>-170908</v>
      </c>
      <c r="K48" s="416">
        <f>C48+J48</f>
        <v>8753092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4"/>
      <c r="F49" s="414"/>
      <c r="G49" s="414"/>
      <c r="H49" s="414"/>
      <c r="I49" s="414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4"/>
      <c r="F50" s="414"/>
      <c r="G50" s="414"/>
      <c r="H50" s="414"/>
      <c r="I50" s="414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167000</v>
      </c>
      <c r="D51" s="165">
        <f aca="true" t="shared" si="10" ref="D51:J51">SUM(D52:D54)</f>
        <v>0</v>
      </c>
      <c r="E51" s="165">
        <f t="shared" si="10"/>
        <v>0</v>
      </c>
      <c r="F51" s="165">
        <f t="shared" si="10"/>
        <v>0</v>
      </c>
      <c r="G51" s="165">
        <f t="shared" si="10"/>
        <v>0</v>
      </c>
      <c r="H51" s="165">
        <f t="shared" si="10"/>
        <v>0</v>
      </c>
      <c r="I51" s="165">
        <f t="shared" si="10"/>
        <v>0</v>
      </c>
      <c r="J51" s="165">
        <f t="shared" si="10"/>
        <v>0</v>
      </c>
      <c r="K51" s="211">
        <f>SUM(K52:K54)</f>
        <v>167000</v>
      </c>
    </row>
    <row r="52" spans="1:11" s="408" customFormat="1" ht="12" customHeight="1">
      <c r="A52" s="385" t="s">
        <v>154</v>
      </c>
      <c r="B52" s="139" t="s">
        <v>344</v>
      </c>
      <c r="C52" s="194">
        <v>167000</v>
      </c>
      <c r="D52" s="410"/>
      <c r="E52" s="410"/>
      <c r="F52" s="410"/>
      <c r="G52" s="410"/>
      <c r="H52" s="410"/>
      <c r="I52" s="410"/>
      <c r="J52" s="411">
        <f>D52+E52+F52+G52+H52+I52</f>
        <v>0</v>
      </c>
      <c r="K52" s="412">
        <f>C52+J52</f>
        <v>167000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4"/>
      <c r="F53" s="414"/>
      <c r="G53" s="414"/>
      <c r="H53" s="414"/>
      <c r="I53" s="414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4"/>
      <c r="F54" s="414"/>
      <c r="G54" s="414"/>
      <c r="H54" s="414"/>
      <c r="I54" s="414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4"/>
      <c r="F55" s="414"/>
      <c r="G55" s="414"/>
      <c r="H55" s="414"/>
      <c r="I55" s="414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17"/>
      <c r="F56" s="417"/>
      <c r="G56" s="417"/>
      <c r="H56" s="417"/>
      <c r="I56" s="417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102381315</v>
      </c>
      <c r="D57" s="419">
        <f aca="true" t="shared" si="11" ref="D57:J57">+D45+D51+D56</f>
        <v>164396</v>
      </c>
      <c r="E57" s="419">
        <f t="shared" si="11"/>
        <v>-5884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158512</v>
      </c>
      <c r="K57" s="211">
        <f>+K45+K51+K56</f>
        <v>102539827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23</v>
      </c>
      <c r="D59" s="422">
        <v>0</v>
      </c>
      <c r="E59" s="422">
        <v>0</v>
      </c>
      <c r="F59" s="422"/>
      <c r="G59" s="422"/>
      <c r="H59" s="422"/>
      <c r="I59" s="422"/>
      <c r="J59" s="423">
        <f>D59+E59+F59+G59+H59+I59</f>
        <v>0</v>
      </c>
      <c r="K59" s="424">
        <f>C59+J59</f>
        <v>23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6">
    <mergeCell ref="A9:K9"/>
    <mergeCell ref="A44:K44"/>
    <mergeCell ref="H5:H7"/>
    <mergeCell ref="I5:I7"/>
    <mergeCell ref="J5:J7"/>
    <mergeCell ref="K5:K7"/>
    <mergeCell ref="B2:J2"/>
    <mergeCell ref="B3:J3"/>
    <mergeCell ref="A4:J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40">
      <selection activeCell="E43" sqref="E4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CONCATENATE("5.4. melléklet ",RM_ALAPADATOK!A7," ",RM_ALAPADATOK!B7," ",RM_ALAPADATOK!C7," ",RM_ALAPADATOK!D7," ",RM_ALAPADATOK!E7," ",RM_ALAPADATOK!F7," ",RM_ALAPADATOK!G7," ",RM_ALAPADATOK!H7)</f>
        <v>5.4. melléklet a  / 2019 (  ) önkormányzati rendelethez</v>
      </c>
    </row>
    <row r="2" spans="1:11" s="369" customFormat="1" ht="36" customHeight="1">
      <c r="A2" s="367" t="s">
        <v>548</v>
      </c>
      <c r="B2" s="492" t="str">
        <f>CONCATENATE(RM_ALAPADATOK!B15)</f>
        <v>Reibel Mihály Városi Művelődési Központ és Könyvtár</v>
      </c>
      <c r="C2" s="492"/>
      <c r="D2" s="492"/>
      <c r="E2" s="492"/>
      <c r="F2" s="492"/>
      <c r="G2" s="492"/>
      <c r="H2" s="492"/>
      <c r="I2" s="492"/>
      <c r="J2" s="492"/>
      <c r="K2" s="368" t="s">
        <v>547</v>
      </c>
    </row>
    <row r="3" spans="1:11" s="369" customFormat="1" ht="22.5" customHeight="1">
      <c r="A3" s="370" t="s">
        <v>520</v>
      </c>
      <c r="B3" s="493" t="s">
        <v>549</v>
      </c>
      <c r="C3" s="493"/>
      <c r="D3" s="493"/>
      <c r="E3" s="493"/>
      <c r="F3" s="493"/>
      <c r="G3" s="493"/>
      <c r="H3" s="493"/>
      <c r="I3" s="493"/>
      <c r="J3" s="493"/>
      <c r="K3" s="371" t="s">
        <v>521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CONCATENATE('RM_5.1.3.sz.mell'!K5)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1525000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1525000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>
        <v>1070000</v>
      </c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1070000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>
        <v>450000</v>
      </c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450000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5000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5000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1525000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1525000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21833474</v>
      </c>
      <c r="D39" s="210">
        <f aca="true" t="shared" si="7" ref="D39:J39">+D40+D41+D42</f>
        <v>1198790</v>
      </c>
      <c r="E39" s="210">
        <f t="shared" si="7"/>
        <v>1150570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2349360</v>
      </c>
      <c r="K39" s="212">
        <f>+K40+K41+K42</f>
        <v>24182834</v>
      </c>
    </row>
    <row r="40" spans="1:11" s="379" customFormat="1" ht="12" customHeight="1">
      <c r="A40" s="391" t="s">
        <v>567</v>
      </c>
      <c r="B40" s="139" t="s">
        <v>471</v>
      </c>
      <c r="C40" s="194">
        <v>11614220</v>
      </c>
      <c r="D40" s="392">
        <v>48219</v>
      </c>
      <c r="E40" s="392"/>
      <c r="F40" s="392"/>
      <c r="G40" s="392"/>
      <c r="H40" s="392"/>
      <c r="I40" s="392"/>
      <c r="J40" s="393">
        <f>D40+E40+F40+G40+H40+I40</f>
        <v>48219</v>
      </c>
      <c r="K40" s="384">
        <f>C40+J40</f>
        <v>11662439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10219254</v>
      </c>
      <c r="D42" s="406">
        <v>1150571</v>
      </c>
      <c r="E42" s="406">
        <v>1150570</v>
      </c>
      <c r="F42" s="406"/>
      <c r="G42" s="406"/>
      <c r="H42" s="406"/>
      <c r="I42" s="406"/>
      <c r="J42" s="393">
        <f>D42+E42+F42+G42+H42+I42</f>
        <v>2301141</v>
      </c>
      <c r="K42" s="396">
        <f>C42+J42</f>
        <v>12520395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23358474</v>
      </c>
      <c r="D43" s="210">
        <f aca="true" t="shared" si="8" ref="D43:J43">+D38+D39</f>
        <v>1198790</v>
      </c>
      <c r="E43" s="210">
        <f t="shared" si="8"/>
        <v>1150570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2349360</v>
      </c>
      <c r="K43" s="212">
        <f>+K38+K39</f>
        <v>25707834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23358474</v>
      </c>
      <c r="D45" s="165">
        <f aca="true" t="shared" si="9" ref="D45:J45">SUM(D46:D50)</f>
        <v>1198790</v>
      </c>
      <c r="E45" s="165">
        <f t="shared" si="9"/>
        <v>965790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2164580</v>
      </c>
      <c r="K45" s="211">
        <f>SUM(K46:K50)</f>
        <v>25523054</v>
      </c>
    </row>
    <row r="46" spans="1:11" ht="12" customHeight="1">
      <c r="A46" s="385" t="s">
        <v>140</v>
      </c>
      <c r="B46" s="139" t="s">
        <v>308</v>
      </c>
      <c r="C46" s="194">
        <v>8484673</v>
      </c>
      <c r="D46" s="409">
        <v>126000</v>
      </c>
      <c r="E46" s="409">
        <v>126000</v>
      </c>
      <c r="F46" s="409"/>
      <c r="G46" s="409"/>
      <c r="H46" s="409"/>
      <c r="I46" s="409"/>
      <c r="J46" s="411">
        <f>D46+E46+F46+G46+H46+I46</f>
        <v>252000</v>
      </c>
      <c r="K46" s="412">
        <f>C46+J46</f>
        <v>8736673</v>
      </c>
    </row>
    <row r="47" spans="1:11" ht="12" customHeight="1">
      <c r="A47" s="385" t="s">
        <v>142</v>
      </c>
      <c r="B47" s="122" t="s">
        <v>309</v>
      </c>
      <c r="C47" s="199">
        <v>1580508</v>
      </c>
      <c r="D47" s="413">
        <v>24571</v>
      </c>
      <c r="E47" s="413">
        <v>24570</v>
      </c>
      <c r="F47" s="413"/>
      <c r="G47" s="413"/>
      <c r="H47" s="413"/>
      <c r="I47" s="413"/>
      <c r="J47" s="415">
        <f>D47+E47+F47+G47+H47+I47</f>
        <v>49141</v>
      </c>
      <c r="K47" s="416">
        <f>C47+J47</f>
        <v>1629649</v>
      </c>
    </row>
    <row r="48" spans="1:11" ht="12" customHeight="1">
      <c r="A48" s="385" t="s">
        <v>144</v>
      </c>
      <c r="B48" s="122" t="s">
        <v>310</v>
      </c>
      <c r="C48" s="199">
        <v>13293293</v>
      </c>
      <c r="D48" s="413">
        <v>1048219</v>
      </c>
      <c r="E48" s="413">
        <v>815220</v>
      </c>
      <c r="F48" s="413"/>
      <c r="G48" s="413"/>
      <c r="H48" s="413"/>
      <c r="I48" s="413"/>
      <c r="J48" s="415">
        <f>D48+E48+F48+G48+H48+I48</f>
        <v>1863439</v>
      </c>
      <c r="K48" s="416">
        <f>C48+J48</f>
        <v>15156732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3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428">
        <f aca="true" t="shared" si="10" ref="D51:J51">SUM(D52:D54)</f>
        <v>0</v>
      </c>
      <c r="E51" s="428">
        <f t="shared" si="10"/>
        <v>184780</v>
      </c>
      <c r="F51" s="428">
        <f t="shared" si="10"/>
        <v>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184780</v>
      </c>
      <c r="K51" s="211">
        <f>SUM(K52:K54)</f>
        <v>184780</v>
      </c>
    </row>
    <row r="52" spans="1:11" s="408" customFormat="1" ht="12" customHeight="1">
      <c r="A52" s="385" t="s">
        <v>154</v>
      </c>
      <c r="B52" s="139" t="s">
        <v>344</v>
      </c>
      <c r="C52" s="194"/>
      <c r="D52" s="409"/>
      <c r="E52" s="409">
        <v>184780</v>
      </c>
      <c r="F52" s="409"/>
      <c r="G52" s="409"/>
      <c r="H52" s="409"/>
      <c r="I52" s="409"/>
      <c r="J52" s="411">
        <f>D52+E52+F52+G52+H52+I52</f>
        <v>184780</v>
      </c>
      <c r="K52" s="412">
        <f>C52+J52</f>
        <v>184780</v>
      </c>
    </row>
    <row r="53" spans="1:11" ht="12" customHeight="1">
      <c r="A53" s="385" t="s">
        <v>156</v>
      </c>
      <c r="B53" s="122" t="s">
        <v>346</v>
      </c>
      <c r="C53" s="199"/>
      <c r="D53" s="413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3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3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23358474</v>
      </c>
      <c r="D57" s="419">
        <f aca="true" t="shared" si="11" ref="D57:J57">+D45+D51+D56</f>
        <v>1198790</v>
      </c>
      <c r="E57" s="419">
        <f t="shared" si="11"/>
        <v>1150570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2349360</v>
      </c>
      <c r="K57" s="211">
        <f>+K45+K51+K56</f>
        <v>25707834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</v>
      </c>
      <c r="D59" s="422">
        <v>0</v>
      </c>
      <c r="E59" s="422">
        <v>0</v>
      </c>
      <c r="F59" s="422"/>
      <c r="G59" s="422"/>
      <c r="H59" s="422"/>
      <c r="I59" s="422"/>
      <c r="J59" s="423">
        <f>D59+E59+F59+G59+H59+I59</f>
        <v>0</v>
      </c>
      <c r="K59" s="424">
        <f>C59+J59</f>
        <v>2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B2:J2"/>
    <mergeCell ref="B3:J3"/>
    <mergeCell ref="A5:A7"/>
    <mergeCell ref="B5:B7"/>
    <mergeCell ref="C5:C7"/>
    <mergeCell ref="D5:D7"/>
    <mergeCell ref="I5:I7"/>
    <mergeCell ref="J5:J7"/>
    <mergeCell ref="A9:K9"/>
    <mergeCell ref="E5:E7"/>
    <mergeCell ref="F5:F7"/>
    <mergeCell ref="G5:G7"/>
    <mergeCell ref="H5:H7"/>
    <mergeCell ref="A44:K44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customWidth="1"/>
    <col min="4" max="4" width="5.125" style="0" customWidth="1"/>
    <col min="5" max="5" width="1.625" style="0" customWidth="1"/>
    <col min="6" max="6" width="18.50390625" style="0" customWidth="1"/>
    <col min="7" max="7" width="1.625" style="0" customWidth="1"/>
  </cols>
  <sheetData>
    <row r="2" spans="1:9" ht="15.75" customHeight="1">
      <c r="A2" s="467" t="s">
        <v>47</v>
      </c>
      <c r="B2" s="467"/>
      <c r="C2" s="467"/>
      <c r="D2" s="467"/>
      <c r="E2" s="467"/>
      <c r="F2" s="467"/>
      <c r="G2" s="467"/>
      <c r="H2" s="467"/>
      <c r="I2" s="467"/>
    </row>
    <row r="3" spans="1:7" ht="15.75">
      <c r="A3" s="468" t="s">
        <v>48</v>
      </c>
      <c r="B3" s="468"/>
      <c r="C3" s="468"/>
      <c r="D3" s="468"/>
      <c r="E3" s="468"/>
      <c r="F3" s="468"/>
      <c r="G3" s="468"/>
    </row>
    <row r="6" ht="15">
      <c r="A6" s="7" t="s">
        <v>49</v>
      </c>
    </row>
    <row r="7" spans="1:10" ht="12.75">
      <c r="A7" s="8" t="s">
        <v>50</v>
      </c>
      <c r="B7" s="9"/>
      <c r="C7" s="10" t="s">
        <v>51</v>
      </c>
      <c r="D7" s="10">
        <v>2019</v>
      </c>
      <c r="E7" s="10" t="s">
        <v>52</v>
      </c>
      <c r="F7" s="9"/>
      <c r="G7" s="10" t="s">
        <v>53</v>
      </c>
      <c r="H7" s="10" t="s">
        <v>54</v>
      </c>
      <c r="I7" s="10"/>
      <c r="J7" s="10"/>
    </row>
    <row r="11" spans="1:7" ht="15.75">
      <c r="A11" s="469" t="s">
        <v>55</v>
      </c>
      <c r="B11" s="469"/>
      <c r="C11" s="469"/>
      <c r="D11" s="469"/>
      <c r="E11" s="469"/>
      <c r="F11" s="469"/>
      <c r="G11" s="469"/>
    </row>
    <row r="13" spans="1:9" ht="14.25">
      <c r="A13" s="11" t="s">
        <v>56</v>
      </c>
      <c r="B13" s="470" t="s">
        <v>57</v>
      </c>
      <c r="C13" s="470"/>
      <c r="D13" s="470"/>
      <c r="E13" s="470"/>
      <c r="F13" s="470"/>
      <c r="G13" s="470"/>
      <c r="H13" s="470"/>
      <c r="I13" s="470"/>
    </row>
    <row r="14" spans="2:9" ht="14.25">
      <c r="B14" s="12"/>
      <c r="C14" s="13"/>
      <c r="D14" s="13"/>
      <c r="E14" s="13"/>
      <c r="F14" s="13"/>
      <c r="G14" s="13"/>
      <c r="H14" s="13"/>
      <c r="I14" s="13"/>
    </row>
    <row r="15" spans="1:9" ht="14.25">
      <c r="A15" s="11" t="s">
        <v>58</v>
      </c>
      <c r="B15" s="470" t="s">
        <v>59</v>
      </c>
      <c r="C15" s="470"/>
      <c r="D15" s="470"/>
      <c r="E15" s="470"/>
      <c r="F15" s="470"/>
      <c r="G15" s="470"/>
      <c r="H15" s="470"/>
      <c r="I15" s="470"/>
    </row>
    <row r="16" spans="2:9" ht="14.25">
      <c r="B16" s="12"/>
      <c r="C16" s="13"/>
      <c r="D16" s="13"/>
      <c r="E16" s="13"/>
      <c r="F16" s="13"/>
      <c r="G16" s="13"/>
      <c r="H16" s="13"/>
      <c r="I16" s="13"/>
    </row>
    <row r="17" spans="1:9" ht="14.25">
      <c r="A17" s="11" t="s">
        <v>60</v>
      </c>
      <c r="B17" s="470" t="s">
        <v>61</v>
      </c>
      <c r="C17" s="470"/>
      <c r="D17" s="470"/>
      <c r="E17" s="470"/>
      <c r="F17" s="470"/>
      <c r="G17" s="470"/>
      <c r="H17" s="470"/>
      <c r="I17" s="470"/>
    </row>
    <row r="18" spans="2:9" ht="14.25">
      <c r="B18" s="12"/>
      <c r="C18" s="13"/>
      <c r="D18" s="13"/>
      <c r="E18" s="13"/>
      <c r="F18" s="13"/>
      <c r="G18" s="13"/>
      <c r="H18" s="13"/>
      <c r="I18" s="13"/>
    </row>
    <row r="19" spans="1:9" ht="14.25">
      <c r="A19" s="11" t="s">
        <v>62</v>
      </c>
      <c r="B19" s="470" t="s">
        <v>63</v>
      </c>
      <c r="C19" s="470"/>
      <c r="D19" s="470"/>
      <c r="E19" s="470"/>
      <c r="F19" s="470"/>
      <c r="G19" s="470"/>
      <c r="H19" s="470"/>
      <c r="I19" s="470"/>
    </row>
    <row r="20" spans="2:9" ht="14.25">
      <c r="B20" s="12"/>
      <c r="C20" s="13"/>
      <c r="D20" s="13"/>
      <c r="E20" s="13"/>
      <c r="F20" s="13"/>
      <c r="G20" s="13"/>
      <c r="H20" s="13"/>
      <c r="I20" s="13"/>
    </row>
    <row r="21" spans="1:9" ht="14.25">
      <c r="A21" s="11" t="s">
        <v>64</v>
      </c>
      <c r="B21" s="470" t="s">
        <v>65</v>
      </c>
      <c r="C21" s="470"/>
      <c r="D21" s="470"/>
      <c r="E21" s="470"/>
      <c r="F21" s="470"/>
      <c r="G21" s="470"/>
      <c r="H21" s="470"/>
      <c r="I21" s="470"/>
    </row>
    <row r="22" spans="2:9" ht="14.25">
      <c r="B22" s="12"/>
      <c r="C22" s="13"/>
      <c r="D22" s="13"/>
      <c r="E22" s="13"/>
      <c r="F22" s="13"/>
      <c r="G22" s="13"/>
      <c r="H22" s="13"/>
      <c r="I22" s="13"/>
    </row>
    <row r="23" spans="1:9" ht="14.25">
      <c r="A23" s="11" t="s">
        <v>66</v>
      </c>
      <c r="B23" s="470" t="s">
        <v>67</v>
      </c>
      <c r="C23" s="470"/>
      <c r="D23" s="470"/>
      <c r="E23" s="470"/>
      <c r="F23" s="470"/>
      <c r="G23" s="470"/>
      <c r="H23" s="470"/>
      <c r="I23" s="470"/>
    </row>
    <row r="24" spans="2:9" ht="14.25">
      <c r="B24" s="12"/>
      <c r="C24" s="13"/>
      <c r="D24" s="13"/>
      <c r="E24" s="13"/>
      <c r="F24" s="13"/>
      <c r="G24" s="13"/>
      <c r="H24" s="13"/>
      <c r="I24" s="13"/>
    </row>
    <row r="25" spans="1:9" ht="14.25">
      <c r="A25" s="11" t="s">
        <v>68</v>
      </c>
      <c r="B25" s="470" t="s">
        <v>69</v>
      </c>
      <c r="C25" s="470"/>
      <c r="D25" s="470"/>
      <c r="E25" s="470"/>
      <c r="F25" s="470"/>
      <c r="G25" s="470"/>
      <c r="H25" s="470"/>
      <c r="I25" s="470"/>
    </row>
    <row r="26" spans="2:9" ht="14.25">
      <c r="B26" s="12"/>
      <c r="C26" s="13"/>
      <c r="D26" s="13"/>
      <c r="E26" s="13"/>
      <c r="F26" s="13"/>
      <c r="G26" s="13"/>
      <c r="H26" s="13"/>
      <c r="I26" s="13"/>
    </row>
    <row r="27" spans="1:9" ht="14.25">
      <c r="A27" s="11" t="s">
        <v>70</v>
      </c>
      <c r="B27" s="470" t="s">
        <v>71</v>
      </c>
      <c r="C27" s="470"/>
      <c r="D27" s="470"/>
      <c r="E27" s="470"/>
      <c r="F27" s="470"/>
      <c r="G27" s="470"/>
      <c r="H27" s="470"/>
      <c r="I27" s="470"/>
    </row>
    <row r="28" spans="2:9" ht="14.25">
      <c r="B28" s="12"/>
      <c r="C28" s="13"/>
      <c r="D28" s="13"/>
      <c r="E28" s="13"/>
      <c r="F28" s="13"/>
      <c r="G28" s="13"/>
      <c r="H28" s="13"/>
      <c r="I28" s="13"/>
    </row>
    <row r="29" spans="1:9" ht="14.25">
      <c r="A29" s="11" t="s">
        <v>70</v>
      </c>
      <c r="B29" s="470" t="s">
        <v>72</v>
      </c>
      <c r="C29" s="470"/>
      <c r="D29" s="470"/>
      <c r="E29" s="470"/>
      <c r="F29" s="470"/>
      <c r="G29" s="470"/>
      <c r="H29" s="470"/>
      <c r="I29" s="470"/>
    </row>
    <row r="30" spans="2:9" ht="14.25">
      <c r="B30" s="12"/>
      <c r="C30" s="13"/>
      <c r="D30" s="13"/>
      <c r="E30" s="13"/>
      <c r="F30" s="13"/>
      <c r="G30" s="13"/>
      <c r="H30" s="13"/>
      <c r="I30" s="13"/>
    </row>
    <row r="31" spans="1:9" ht="14.25">
      <c r="A31" s="11" t="s">
        <v>73</v>
      </c>
      <c r="B31" s="470" t="s">
        <v>74</v>
      </c>
      <c r="C31" s="470"/>
      <c r="D31" s="470"/>
      <c r="E31" s="470"/>
      <c r="F31" s="470"/>
      <c r="G31" s="470"/>
      <c r="H31" s="470"/>
      <c r="I31" s="470"/>
    </row>
  </sheetData>
  <sheetProtection sheet="1" objects="1" scenarios="1"/>
  <mergeCells count="13">
    <mergeCell ref="B31:I31"/>
    <mergeCell ref="B19:I19"/>
    <mergeCell ref="B21:I21"/>
    <mergeCell ref="B23:I23"/>
    <mergeCell ref="B25:I25"/>
    <mergeCell ref="B27:I27"/>
    <mergeCell ref="B29:I29"/>
    <mergeCell ref="A2:I2"/>
    <mergeCell ref="A3:G3"/>
    <mergeCell ref="A11:G11"/>
    <mergeCell ref="B13:I13"/>
    <mergeCell ref="B15:I15"/>
    <mergeCell ref="B17:I17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37">
      <selection activeCell="E43" sqref="E4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CONCATENATE("5.4.1. melléklet ",RM_ALAPADATOK!A7," ",RM_ALAPADATOK!B7," ",RM_ALAPADATOK!C7," ",RM_ALAPADATOK!D7," ",RM_ALAPADATOK!E7," ",RM_ALAPADATOK!F7," ",RM_ALAPADATOK!G7," ",RM_ALAPADATOK!H7)</f>
        <v>5.4.1. melléklet a  / 2019 (  ) önkormányzati rendelethez</v>
      </c>
    </row>
    <row r="2" spans="1:11" s="369" customFormat="1" ht="36" customHeight="1">
      <c r="A2" s="367" t="s">
        <v>548</v>
      </c>
      <c r="B2" s="492" t="str">
        <f>CONCATENATE('RM_5.4.sz.mell'!B2:J2)</f>
        <v>Reibel Mihály Városi Művelődési Központ és Könyvtár</v>
      </c>
      <c r="C2" s="492"/>
      <c r="D2" s="492"/>
      <c r="E2" s="492"/>
      <c r="F2" s="492"/>
      <c r="G2" s="492"/>
      <c r="H2" s="492"/>
      <c r="I2" s="492"/>
      <c r="J2" s="492"/>
      <c r="K2" s="368" t="s">
        <v>547</v>
      </c>
    </row>
    <row r="3" spans="1:11" s="369" customFormat="1" ht="22.5" customHeight="1">
      <c r="A3" s="370" t="s">
        <v>520</v>
      </c>
      <c r="B3" s="493" t="str">
        <f>CONCATENATE('RM_5.1.1.sz.mell'!B3:J3)</f>
        <v>Kötelező feladtok bevételeinek, kiadásainak módosítása</v>
      </c>
      <c r="C3" s="493"/>
      <c r="D3" s="493"/>
      <c r="E3" s="493"/>
      <c r="F3" s="493"/>
      <c r="G3" s="493"/>
      <c r="H3" s="493"/>
      <c r="I3" s="493"/>
      <c r="J3" s="493"/>
      <c r="K3" s="371" t="s">
        <v>545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CONCATENATE('RM_5.4.sz.mell'!K5)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1525000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1525000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>
        <v>1070000</v>
      </c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1070000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>
        <v>450000</v>
      </c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450000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5000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5000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1525000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1525000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10219254</v>
      </c>
      <c r="D39" s="210">
        <f aca="true" t="shared" si="7" ref="D39:J39">+D40+D41+D42</f>
        <v>1198790</v>
      </c>
      <c r="E39" s="210">
        <f t="shared" si="7"/>
        <v>1150570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2349360</v>
      </c>
      <c r="K39" s="212">
        <f>+K40+K41+K42</f>
        <v>12568614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48219</v>
      </c>
      <c r="E40" s="392"/>
      <c r="F40" s="392"/>
      <c r="G40" s="392"/>
      <c r="H40" s="392"/>
      <c r="I40" s="392"/>
      <c r="J40" s="393">
        <f>D40+E40+F40+G40+H40+I40</f>
        <v>48219</v>
      </c>
      <c r="K40" s="384">
        <f>C40+J40</f>
        <v>48219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10219254</v>
      </c>
      <c r="D42" s="406">
        <v>1150571</v>
      </c>
      <c r="E42" s="406">
        <v>1150570</v>
      </c>
      <c r="F42" s="406"/>
      <c r="G42" s="406"/>
      <c r="H42" s="406"/>
      <c r="I42" s="406"/>
      <c r="J42" s="393">
        <f>D42+E42+F42+G42+H42+I42</f>
        <v>2301141</v>
      </c>
      <c r="K42" s="396">
        <f>C42+J42</f>
        <v>12520395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11744254</v>
      </c>
      <c r="D43" s="210">
        <f aca="true" t="shared" si="8" ref="D43:J43">+D38+D39</f>
        <v>1198790</v>
      </c>
      <c r="E43" s="210">
        <f t="shared" si="8"/>
        <v>1150570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2349360</v>
      </c>
      <c r="K43" s="212">
        <f>+K38+K39</f>
        <v>14093614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11744254</v>
      </c>
      <c r="D45" s="165">
        <f aca="true" t="shared" si="9" ref="D45:J45">SUM(D46:D50)</f>
        <v>1198790</v>
      </c>
      <c r="E45" s="165">
        <f t="shared" si="9"/>
        <v>965790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2164580</v>
      </c>
      <c r="K45" s="211">
        <f>SUM(K46:K50)</f>
        <v>13908834</v>
      </c>
    </row>
    <row r="46" spans="1:11" ht="12" customHeight="1">
      <c r="A46" s="385" t="s">
        <v>140</v>
      </c>
      <c r="B46" s="139" t="s">
        <v>308</v>
      </c>
      <c r="C46" s="194">
        <v>6035212</v>
      </c>
      <c r="D46" s="409">
        <v>126000</v>
      </c>
      <c r="E46" s="409">
        <v>126000</v>
      </c>
      <c r="F46" s="409"/>
      <c r="G46" s="409"/>
      <c r="H46" s="409"/>
      <c r="I46" s="409"/>
      <c r="J46" s="411">
        <f>D46+E46+F46+G46+H46+I46</f>
        <v>252000</v>
      </c>
      <c r="K46" s="412">
        <f>C46+J46</f>
        <v>6287212</v>
      </c>
    </row>
    <row r="47" spans="1:11" ht="12" customHeight="1">
      <c r="A47" s="385" t="s">
        <v>142</v>
      </c>
      <c r="B47" s="122" t="s">
        <v>309</v>
      </c>
      <c r="C47" s="199">
        <v>1131042</v>
      </c>
      <c r="D47" s="413">
        <v>24571</v>
      </c>
      <c r="E47" s="413">
        <v>24570</v>
      </c>
      <c r="F47" s="413"/>
      <c r="G47" s="413"/>
      <c r="H47" s="413"/>
      <c r="I47" s="413"/>
      <c r="J47" s="415">
        <f>D47+E47+F47+G47+H47+I47</f>
        <v>49141</v>
      </c>
      <c r="K47" s="416">
        <f>C47+J47</f>
        <v>1180183</v>
      </c>
    </row>
    <row r="48" spans="1:11" ht="12" customHeight="1">
      <c r="A48" s="385" t="s">
        <v>144</v>
      </c>
      <c r="B48" s="122" t="s">
        <v>310</v>
      </c>
      <c r="C48" s="199">
        <v>4578000</v>
      </c>
      <c r="D48" s="413">
        <v>1048219</v>
      </c>
      <c r="E48" s="413">
        <v>815220</v>
      </c>
      <c r="F48" s="413"/>
      <c r="G48" s="413"/>
      <c r="H48" s="413"/>
      <c r="I48" s="413"/>
      <c r="J48" s="415">
        <f>D48+E48+F48+G48+H48+I48</f>
        <v>1863439</v>
      </c>
      <c r="K48" s="416">
        <f>C48+J48</f>
        <v>6441439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184780</v>
      </c>
      <c r="F51" s="428">
        <f t="shared" si="10"/>
        <v>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184780</v>
      </c>
      <c r="K51" s="211">
        <f>SUM(K52:K54)</f>
        <v>184780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184780</v>
      </c>
      <c r="F52" s="409"/>
      <c r="G52" s="409"/>
      <c r="H52" s="409"/>
      <c r="I52" s="409"/>
      <c r="J52" s="411">
        <f>D52+E52+F52+G52+H52+I52</f>
        <v>184780</v>
      </c>
      <c r="K52" s="412">
        <f>C52+J52</f>
        <v>184780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11744254</v>
      </c>
      <c r="D57" s="419">
        <f aca="true" t="shared" si="11" ref="D57:J57">+D45+D51+D56</f>
        <v>1198790</v>
      </c>
      <c r="E57" s="419">
        <f t="shared" si="11"/>
        <v>1150570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2349360</v>
      </c>
      <c r="K57" s="211">
        <f>+K45+K51+K56</f>
        <v>14093614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</v>
      </c>
      <c r="D59" s="422">
        <v>0</v>
      </c>
      <c r="E59" s="422">
        <v>0</v>
      </c>
      <c r="F59" s="422"/>
      <c r="G59" s="422"/>
      <c r="H59" s="422"/>
      <c r="I59" s="422"/>
      <c r="J59" s="423">
        <f>D59+E59+F59+G59+H59+I59</f>
        <v>0</v>
      </c>
      <c r="K59" s="424">
        <f>C59+J59</f>
        <v>2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B2:J2"/>
    <mergeCell ref="B3:J3"/>
    <mergeCell ref="A5:A7"/>
    <mergeCell ref="B5:B7"/>
    <mergeCell ref="C5:C7"/>
    <mergeCell ref="D5:D7"/>
    <mergeCell ref="I5:I7"/>
    <mergeCell ref="J5:J7"/>
    <mergeCell ref="A9:K9"/>
    <mergeCell ref="E5:E7"/>
    <mergeCell ref="F5:F7"/>
    <mergeCell ref="G5:G7"/>
    <mergeCell ref="H5:H7"/>
    <mergeCell ref="A44:K44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31">
      <selection activeCell="K59" sqref="K59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CONCATENATE("5.4.2. melléklet ",RM_ALAPADATOK!A7," ",RM_ALAPADATOK!B7," ",RM_ALAPADATOK!C7," ",RM_ALAPADATOK!D7," ",RM_ALAPADATOK!E7," ",RM_ALAPADATOK!F7," ",RM_ALAPADATOK!G7," ",RM_ALAPADATOK!H7)</f>
        <v>5.4.2. melléklet a  / 2019 (  ) önkormányzati rendelethez</v>
      </c>
    </row>
    <row r="2" spans="1:11" s="369" customFormat="1" ht="36" customHeight="1">
      <c r="A2" s="367" t="s">
        <v>548</v>
      </c>
      <c r="B2" s="492" t="str">
        <f>CONCATENATE('RM_5.4.1.sz.mell'!B2:J2)</f>
        <v>Reibel Mihály Városi Művelődési Központ és Könyvtár</v>
      </c>
      <c r="C2" s="492"/>
      <c r="D2" s="492"/>
      <c r="E2" s="492"/>
      <c r="F2" s="492"/>
      <c r="G2" s="492"/>
      <c r="H2" s="492"/>
      <c r="I2" s="492"/>
      <c r="J2" s="492"/>
      <c r="K2" s="368" t="s">
        <v>547</v>
      </c>
    </row>
    <row r="3" spans="1:11" s="369" customFormat="1" ht="22.5" customHeight="1">
      <c r="A3" s="370" t="s">
        <v>520</v>
      </c>
      <c r="B3" s="493" t="str">
        <f>CONCATENATE('RM_5.1.2.sz.mell'!B3:J3)</f>
        <v>Önként vállalt feladatok bevételeinek, kiadásainak módosítása</v>
      </c>
      <c r="C3" s="493"/>
      <c r="D3" s="493"/>
      <c r="E3" s="493"/>
      <c r="F3" s="493"/>
      <c r="G3" s="493"/>
      <c r="H3" s="493"/>
      <c r="I3" s="493"/>
      <c r="J3" s="493"/>
      <c r="K3" s="371" t="s">
        <v>546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CONCATENATE('RM_5.4.1.sz.mell'!K5)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184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186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188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11614220</v>
      </c>
      <c r="D39" s="210">
        <f aca="true" t="shared" si="7" ref="D39:J39">+D40+D41+D42</f>
        <v>0</v>
      </c>
      <c r="E39" s="210">
        <f t="shared" si="7"/>
        <v>0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0</v>
      </c>
      <c r="K39" s="212">
        <f>+K40+K41+K42</f>
        <v>11614220</v>
      </c>
    </row>
    <row r="40" spans="1:11" s="379" customFormat="1" ht="12" customHeight="1">
      <c r="A40" s="391" t="s">
        <v>567</v>
      </c>
      <c r="B40" s="139" t="s">
        <v>471</v>
      </c>
      <c r="C40" s="194">
        <v>11614220</v>
      </c>
      <c r="D40" s="392"/>
      <c r="E40" s="392"/>
      <c r="F40" s="392"/>
      <c r="G40" s="392"/>
      <c r="H40" s="392"/>
      <c r="I40" s="392"/>
      <c r="J40" s="393">
        <f>D40+E40+F40+G40+H40+I40</f>
        <v>0</v>
      </c>
      <c r="K40" s="384">
        <f>C40+J40</f>
        <v>11614220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/>
      <c r="D42" s="406"/>
      <c r="E42" s="406"/>
      <c r="F42" s="406"/>
      <c r="G42" s="406"/>
      <c r="H42" s="406"/>
      <c r="I42" s="406"/>
      <c r="J42" s="393">
        <f>D42+E42+F42+G42+H42+I42</f>
        <v>0</v>
      </c>
      <c r="K42" s="396">
        <f>C42+J42</f>
        <v>0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11614220</v>
      </c>
      <c r="D43" s="210">
        <f aca="true" t="shared" si="8" ref="D43:J43">+D38+D39</f>
        <v>0</v>
      </c>
      <c r="E43" s="210">
        <f t="shared" si="8"/>
        <v>0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0</v>
      </c>
      <c r="K43" s="212">
        <f>+K38+K39</f>
        <v>11614220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11614220</v>
      </c>
      <c r="D45" s="165">
        <f aca="true" t="shared" si="9" ref="D45:J45">SUM(D46:D50)</f>
        <v>0</v>
      </c>
      <c r="E45" s="165">
        <f t="shared" si="9"/>
        <v>0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0</v>
      </c>
      <c r="K45" s="211">
        <f>SUM(K46:K50)</f>
        <v>11614220</v>
      </c>
    </row>
    <row r="46" spans="1:11" ht="12" customHeight="1">
      <c r="A46" s="385" t="s">
        <v>140</v>
      </c>
      <c r="B46" s="139" t="s">
        <v>308</v>
      </c>
      <c r="C46" s="194">
        <v>2449461</v>
      </c>
      <c r="D46" s="410"/>
      <c r="E46" s="410"/>
      <c r="F46" s="410"/>
      <c r="G46" s="410"/>
      <c r="H46" s="410"/>
      <c r="I46" s="410"/>
      <c r="J46" s="411">
        <f>D46+E46+F46+G46+H46+I46</f>
        <v>0</v>
      </c>
      <c r="K46" s="412">
        <f>C46+J46</f>
        <v>2449461</v>
      </c>
    </row>
    <row r="47" spans="1:11" ht="12" customHeight="1">
      <c r="A47" s="385" t="s">
        <v>142</v>
      </c>
      <c r="B47" s="122" t="s">
        <v>309</v>
      </c>
      <c r="C47" s="199">
        <v>449466</v>
      </c>
      <c r="D47" s="414"/>
      <c r="E47" s="414"/>
      <c r="F47" s="414"/>
      <c r="G47" s="414"/>
      <c r="H47" s="414"/>
      <c r="I47" s="414"/>
      <c r="J47" s="415">
        <f>D47+E47+F47+G47+H47+I47</f>
        <v>0</v>
      </c>
      <c r="K47" s="416">
        <f>C47+J47</f>
        <v>449466</v>
      </c>
    </row>
    <row r="48" spans="1:11" ht="12" customHeight="1">
      <c r="A48" s="385" t="s">
        <v>144</v>
      </c>
      <c r="B48" s="122" t="s">
        <v>310</v>
      </c>
      <c r="C48" s="199">
        <v>8715293</v>
      </c>
      <c r="D48" s="414"/>
      <c r="E48" s="414"/>
      <c r="F48" s="414"/>
      <c r="G48" s="414"/>
      <c r="H48" s="414"/>
      <c r="I48" s="414"/>
      <c r="J48" s="415">
        <f>D48+E48+F48+G48+H48+I48</f>
        <v>0</v>
      </c>
      <c r="K48" s="416">
        <f>C48+J48</f>
        <v>8715293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4"/>
      <c r="F49" s="414"/>
      <c r="G49" s="414"/>
      <c r="H49" s="414"/>
      <c r="I49" s="414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4"/>
      <c r="F50" s="414"/>
      <c r="G50" s="414"/>
      <c r="H50" s="414"/>
      <c r="I50" s="414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165">
        <f t="shared" si="10"/>
        <v>0</v>
      </c>
      <c r="F51" s="165">
        <f t="shared" si="10"/>
        <v>0</v>
      </c>
      <c r="G51" s="165">
        <f t="shared" si="10"/>
        <v>0</v>
      </c>
      <c r="H51" s="165">
        <f t="shared" si="10"/>
        <v>0</v>
      </c>
      <c r="I51" s="165">
        <f t="shared" si="10"/>
        <v>0</v>
      </c>
      <c r="J51" s="165">
        <f t="shared" si="10"/>
        <v>0</v>
      </c>
      <c r="K51" s="211">
        <f>SUM(K52:K54)</f>
        <v>0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10"/>
      <c r="F52" s="410"/>
      <c r="G52" s="410"/>
      <c r="H52" s="410"/>
      <c r="I52" s="410"/>
      <c r="J52" s="411">
        <f>D52+E52+F52+G52+H52+I52</f>
        <v>0</v>
      </c>
      <c r="K52" s="412">
        <f>C52+J52</f>
        <v>0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4"/>
      <c r="F53" s="414"/>
      <c r="G53" s="414"/>
      <c r="H53" s="414"/>
      <c r="I53" s="414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4"/>
      <c r="F54" s="414"/>
      <c r="G54" s="414"/>
      <c r="H54" s="414"/>
      <c r="I54" s="414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4"/>
      <c r="F55" s="414"/>
      <c r="G55" s="414"/>
      <c r="H55" s="414"/>
      <c r="I55" s="414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17"/>
      <c r="F56" s="417"/>
      <c r="G56" s="417"/>
      <c r="H56" s="417"/>
      <c r="I56" s="417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11614220</v>
      </c>
      <c r="D57" s="419">
        <f aca="true" t="shared" si="11" ref="D57:J57">+D45+D51+D56</f>
        <v>0</v>
      </c>
      <c r="E57" s="419">
        <f t="shared" si="11"/>
        <v>0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0</v>
      </c>
      <c r="K57" s="211">
        <f>+K45+K51+K56</f>
        <v>11614220</v>
      </c>
    </row>
    <row r="58" spans="3:11" ht="13.5" customHeight="1">
      <c r="C58" s="420"/>
      <c r="D58" s="429"/>
      <c r="E58" s="429"/>
      <c r="F58" s="429"/>
      <c r="G58" s="429"/>
      <c r="H58" s="429"/>
      <c r="I58" s="429"/>
      <c r="J58" s="429"/>
      <c r="K58" s="430">
        <f>K43-K57</f>
        <v>0</v>
      </c>
    </row>
    <row r="59" spans="1:11" ht="12.75" customHeight="1">
      <c r="A59" s="349" t="s">
        <v>543</v>
      </c>
      <c r="B59" s="350"/>
      <c r="C59" s="351">
        <v>0</v>
      </c>
      <c r="D59" s="422"/>
      <c r="E59" s="422"/>
      <c r="F59" s="422"/>
      <c r="G59" s="422"/>
      <c r="H59" s="422"/>
      <c r="I59" s="422"/>
      <c r="J59" s="423">
        <f>D59+E59+F59+G59+H59+I59</f>
        <v>0</v>
      </c>
      <c r="K59" s="351">
        <v>0</v>
      </c>
    </row>
    <row r="60" spans="1:11" ht="12.75" customHeight="1">
      <c r="A60" s="349" t="s">
        <v>544</v>
      </c>
      <c r="B60" s="350"/>
      <c r="C60" s="351">
        <v>0</v>
      </c>
      <c r="D60" s="422"/>
      <c r="E60" s="422"/>
      <c r="F60" s="422"/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B2:J2"/>
    <mergeCell ref="B3:J3"/>
    <mergeCell ref="A5:A7"/>
    <mergeCell ref="B5:B7"/>
    <mergeCell ref="C5:C7"/>
    <mergeCell ref="D5:D7"/>
    <mergeCell ref="I5:I7"/>
    <mergeCell ref="J5:J7"/>
    <mergeCell ref="A9:K9"/>
    <mergeCell ref="E5:E7"/>
    <mergeCell ref="F5:F7"/>
    <mergeCell ref="G5:G7"/>
    <mergeCell ref="H5:H7"/>
    <mergeCell ref="A44:K44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34">
      <selection activeCell="F53" sqref="F5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CONCATENATE("5.5. melléklet ",RM_ALAPADATOK!A7," ",RM_ALAPADATOK!B7," ",RM_ALAPADATOK!C7," ",RM_ALAPADATOK!D7," ",RM_ALAPADATOK!E7," ",RM_ALAPADATOK!F7," ",RM_ALAPADATOK!G7," ",RM_ALAPADATOK!H7)</f>
        <v>5.5. melléklet a  / 2019 (  ) önkormányzati rendelethez</v>
      </c>
    </row>
    <row r="2" spans="1:11" s="369" customFormat="1" ht="36" customHeight="1">
      <c r="A2" s="367" t="s">
        <v>548</v>
      </c>
      <c r="B2" s="492" t="str">
        <f>CONCATENATE(RM_ALAPADATOK!B17)</f>
        <v>Naplemente Idősek Otthona</v>
      </c>
      <c r="C2" s="492"/>
      <c r="D2" s="492"/>
      <c r="E2" s="492"/>
      <c r="F2" s="492"/>
      <c r="G2" s="492"/>
      <c r="H2" s="492"/>
      <c r="I2" s="492"/>
      <c r="J2" s="492"/>
      <c r="K2" s="368" t="s">
        <v>579</v>
      </c>
    </row>
    <row r="3" spans="1:11" s="369" customFormat="1" ht="22.5" customHeight="1">
      <c r="A3" s="370" t="s">
        <v>520</v>
      </c>
      <c r="B3" s="493" t="s">
        <v>549</v>
      </c>
      <c r="C3" s="493"/>
      <c r="D3" s="493"/>
      <c r="E3" s="493"/>
      <c r="F3" s="493"/>
      <c r="G3" s="493"/>
      <c r="H3" s="493"/>
      <c r="I3" s="493"/>
      <c r="J3" s="493"/>
      <c r="K3" s="371" t="s">
        <v>521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CONCATENATE('RM_5.1.3.sz.mell'!K5)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56036286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56036286</v>
      </c>
    </row>
    <row r="11" spans="1:11" s="379" customFormat="1" ht="12" customHeight="1">
      <c r="A11" s="380" t="s">
        <v>140</v>
      </c>
      <c r="B11" s="118" t="s">
        <v>199</v>
      </c>
      <c r="C11" s="381">
        <v>10312490</v>
      </c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10312490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>
        <v>39879475</v>
      </c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39879475</v>
      </c>
    </row>
    <row r="16" spans="1:11" s="379" customFormat="1" ht="12" customHeight="1">
      <c r="A16" s="385" t="s">
        <v>150</v>
      </c>
      <c r="B16" s="122" t="s">
        <v>554</v>
      </c>
      <c r="C16" s="199">
        <v>5844321</v>
      </c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5844321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301978</v>
      </c>
      <c r="E22" s="210">
        <f t="shared" si="3"/>
        <v>301978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603956</v>
      </c>
      <c r="K22" s="212">
        <f>SUM(K23:K25)</f>
        <v>603956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>
        <v>301978</v>
      </c>
      <c r="E25" s="94">
        <v>301978</v>
      </c>
      <c r="F25" s="94"/>
      <c r="G25" s="94"/>
      <c r="H25" s="94"/>
      <c r="I25" s="94"/>
      <c r="J25" s="386">
        <f>D25+E25+F25+G25+H25+I25</f>
        <v>603956</v>
      </c>
      <c r="K25" s="394">
        <f>C25+J25</f>
        <v>603956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56036286</v>
      </c>
      <c r="D38" s="210">
        <f aca="true" t="shared" si="6" ref="D38:K38">+D10+D22+D27+D28+D32+D36+D37</f>
        <v>301978</v>
      </c>
      <c r="E38" s="210">
        <f t="shared" si="6"/>
        <v>301978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603956</v>
      </c>
      <c r="K38" s="212">
        <f t="shared" si="6"/>
        <v>56640242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114867817</v>
      </c>
      <c r="D39" s="210">
        <f aca="true" t="shared" si="7" ref="D39:J39">+D40+D41+D42</f>
        <v>1544177</v>
      </c>
      <c r="E39" s="210">
        <f t="shared" si="7"/>
        <v>6180417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7724594</v>
      </c>
      <c r="K39" s="212">
        <f>+K40+K41+K42</f>
        <v>122592411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368394</v>
      </c>
      <c r="E40" s="392"/>
      <c r="F40" s="392"/>
      <c r="G40" s="392"/>
      <c r="H40" s="392"/>
      <c r="I40" s="392"/>
      <c r="J40" s="393">
        <f>D40+E40+F40+G40+H40+I40</f>
        <v>368394</v>
      </c>
      <c r="K40" s="384">
        <f>C40+J40</f>
        <v>368394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114867817</v>
      </c>
      <c r="D42" s="406">
        <v>1175783</v>
      </c>
      <c r="E42" s="406">
        <v>6180417</v>
      </c>
      <c r="F42" s="406"/>
      <c r="G42" s="406"/>
      <c r="H42" s="406"/>
      <c r="I42" s="406"/>
      <c r="J42" s="393">
        <f>D42+E42+F42+G42+H42+I42</f>
        <v>7356200</v>
      </c>
      <c r="K42" s="396">
        <f>C42+J42</f>
        <v>122224017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170904103</v>
      </c>
      <c r="D43" s="210">
        <f aca="true" t="shared" si="8" ref="D43:J43">+D38+D39</f>
        <v>1846155</v>
      </c>
      <c r="E43" s="210">
        <f t="shared" si="8"/>
        <v>6482395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8328550</v>
      </c>
      <c r="K43" s="212">
        <f>+K38+K39</f>
        <v>179232653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170904103</v>
      </c>
      <c r="D45" s="165">
        <f aca="true" t="shared" si="9" ref="D45:J45">SUM(D46:D50)</f>
        <v>1846155</v>
      </c>
      <c r="E45" s="165">
        <f t="shared" si="9"/>
        <v>5663900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7510055</v>
      </c>
      <c r="K45" s="211">
        <f>SUM(K46:K50)</f>
        <v>178414158</v>
      </c>
    </row>
    <row r="46" spans="1:11" ht="12" customHeight="1">
      <c r="A46" s="385" t="s">
        <v>140</v>
      </c>
      <c r="B46" s="139" t="s">
        <v>308</v>
      </c>
      <c r="C46" s="194">
        <v>64739433</v>
      </c>
      <c r="D46" s="409">
        <v>1236613</v>
      </c>
      <c r="E46" s="409">
        <v>5500988</v>
      </c>
      <c r="F46" s="409"/>
      <c r="G46" s="409"/>
      <c r="H46" s="409"/>
      <c r="I46" s="409"/>
      <c r="J46" s="411">
        <f>D46+E46+F46+G46+H46+I46</f>
        <v>6737601</v>
      </c>
      <c r="K46" s="412">
        <f>C46+J46</f>
        <v>71477034</v>
      </c>
    </row>
    <row r="47" spans="1:11" ht="12" customHeight="1">
      <c r="A47" s="385" t="s">
        <v>142</v>
      </c>
      <c r="B47" s="122" t="s">
        <v>309</v>
      </c>
      <c r="C47" s="199">
        <v>12329495</v>
      </c>
      <c r="D47" s="413">
        <v>241148</v>
      </c>
      <c r="E47" s="413">
        <v>987107</v>
      </c>
      <c r="F47" s="413"/>
      <c r="G47" s="413"/>
      <c r="H47" s="413"/>
      <c r="I47" s="413"/>
      <c r="J47" s="415">
        <f>D47+E47+F47+G47+H47+I47</f>
        <v>1228255</v>
      </c>
      <c r="K47" s="416">
        <f>C47+J47</f>
        <v>13557750</v>
      </c>
    </row>
    <row r="48" spans="1:11" ht="12" customHeight="1">
      <c r="A48" s="385" t="s">
        <v>144</v>
      </c>
      <c r="B48" s="122" t="s">
        <v>310</v>
      </c>
      <c r="C48" s="199">
        <v>93835175</v>
      </c>
      <c r="D48" s="413">
        <v>368394</v>
      </c>
      <c r="E48" s="413">
        <v>-824195</v>
      </c>
      <c r="F48" s="413"/>
      <c r="G48" s="413"/>
      <c r="H48" s="413"/>
      <c r="I48" s="413"/>
      <c r="J48" s="415">
        <f>D48+E48+F48+G48+H48+I48</f>
        <v>-455801</v>
      </c>
      <c r="K48" s="416">
        <f>C48+J48</f>
        <v>93379374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818495</v>
      </c>
      <c r="F51" s="428">
        <f t="shared" si="10"/>
        <v>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818495</v>
      </c>
      <c r="K51" s="211">
        <f>SUM(K52:K54)</f>
        <v>818495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818495</v>
      </c>
      <c r="F52" s="409"/>
      <c r="G52" s="409"/>
      <c r="H52" s="409"/>
      <c r="I52" s="409"/>
      <c r="J52" s="411">
        <f>D52+E52+F52+G52+H52+I52</f>
        <v>818495</v>
      </c>
      <c r="K52" s="412">
        <f>C52+J52</f>
        <v>818495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17"/>
      <c r="F56" s="417"/>
      <c r="G56" s="417"/>
      <c r="H56" s="417"/>
      <c r="I56" s="417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170904103</v>
      </c>
      <c r="D57" s="419">
        <f aca="true" t="shared" si="11" ref="D57:J57">+D45+D51+D56</f>
        <v>1846155</v>
      </c>
      <c r="E57" s="419">
        <f t="shared" si="11"/>
        <v>6482395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8328550</v>
      </c>
      <c r="K57" s="211">
        <f>+K45+K51+K56</f>
        <v>179232653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6"/>
    </row>
    <row r="59" spans="1:11" ht="12.75" customHeight="1">
      <c r="A59" s="349" t="s">
        <v>543</v>
      </c>
      <c r="B59" s="350"/>
      <c r="C59" s="355">
        <v>24</v>
      </c>
      <c r="D59" s="422">
        <v>0</v>
      </c>
      <c r="E59" s="422">
        <v>0</v>
      </c>
      <c r="F59" s="422"/>
      <c r="G59" s="422"/>
      <c r="H59" s="422"/>
      <c r="I59" s="422"/>
      <c r="J59" s="423">
        <f>D59+E59+F59+G59+H59+I59</f>
        <v>0</v>
      </c>
      <c r="K59" s="424">
        <f>C59+J59</f>
        <v>24</v>
      </c>
    </row>
    <row r="60" spans="1:11" ht="12.75" customHeight="1">
      <c r="A60" s="349" t="s">
        <v>544</v>
      </c>
      <c r="B60" s="350"/>
      <c r="C60" s="355">
        <v>0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355">
        <v>0</v>
      </c>
    </row>
  </sheetData>
  <sheetProtection selectLockedCells="1" selectUnlockedCells="1"/>
  <mergeCells count="15">
    <mergeCell ref="B2:J2"/>
    <mergeCell ref="B3:J3"/>
    <mergeCell ref="A5:A7"/>
    <mergeCell ref="B5:B7"/>
    <mergeCell ref="C5:C7"/>
    <mergeCell ref="D5:D7"/>
    <mergeCell ref="I5:I7"/>
    <mergeCell ref="J5:J7"/>
    <mergeCell ref="A9:K9"/>
    <mergeCell ref="E5:E7"/>
    <mergeCell ref="F5:F7"/>
    <mergeCell ref="G5:G7"/>
    <mergeCell ref="H5:H7"/>
    <mergeCell ref="A44:K44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C1">
      <selection activeCell="E60" sqref="E60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CONCATENATE("5.5.1. melléklet ",RM_ALAPADATOK!A7," ",RM_ALAPADATOK!B7," ",RM_ALAPADATOK!C7," ",RM_ALAPADATOK!D7," ",RM_ALAPADATOK!E7," ",RM_ALAPADATOK!F7," ",RM_ALAPADATOK!G7," ",RM_ALAPADATOK!H7)</f>
        <v>5.5.1. melléklet a  / 2019 (  ) önkormányzati rendelethez</v>
      </c>
    </row>
    <row r="2" spans="1:11" s="369" customFormat="1" ht="36" customHeight="1">
      <c r="A2" s="367" t="s">
        <v>548</v>
      </c>
      <c r="B2" s="492" t="str">
        <f>CONCATENATE('RM_5.5.sz.mell'!B2:J2)</f>
        <v>Naplemente Idősek Otthona</v>
      </c>
      <c r="C2" s="492"/>
      <c r="D2" s="492"/>
      <c r="E2" s="492"/>
      <c r="F2" s="492"/>
      <c r="G2" s="492"/>
      <c r="H2" s="492"/>
      <c r="I2" s="492"/>
      <c r="J2" s="492"/>
      <c r="K2" s="368" t="s">
        <v>579</v>
      </c>
    </row>
    <row r="3" spans="1:11" s="369" customFormat="1" ht="22.5" customHeight="1">
      <c r="A3" s="370" t="s">
        <v>520</v>
      </c>
      <c r="B3" s="493" t="str">
        <f>CONCATENATE('RM_5.1.1.sz.mell'!B3:J3)</f>
        <v>Kötelező feladtok bevételeinek, kiadásainak módosítása</v>
      </c>
      <c r="C3" s="493"/>
      <c r="D3" s="493"/>
      <c r="E3" s="493"/>
      <c r="F3" s="493"/>
      <c r="G3" s="493"/>
      <c r="H3" s="493"/>
      <c r="I3" s="493"/>
      <c r="J3" s="493"/>
      <c r="K3" s="371" t="s">
        <v>545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CONCATENATE('RM_5.5.sz.mell'!K5)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42939424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42939424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>
        <v>39879475</v>
      </c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39879475</v>
      </c>
    </row>
    <row r="16" spans="1:11" s="379" customFormat="1" ht="12" customHeight="1">
      <c r="A16" s="385" t="s">
        <v>150</v>
      </c>
      <c r="B16" s="122" t="s">
        <v>554</v>
      </c>
      <c r="C16" s="199">
        <v>3059949</v>
      </c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3059949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301978</v>
      </c>
      <c r="E22" s="210">
        <f t="shared" si="3"/>
        <v>301978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603956</v>
      </c>
      <c r="K22" s="212">
        <f>SUM(K23:K25)</f>
        <v>603956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>
        <v>301978</v>
      </c>
      <c r="E25" s="94">
        <v>301978</v>
      </c>
      <c r="F25" s="94"/>
      <c r="G25" s="94"/>
      <c r="H25" s="94"/>
      <c r="I25" s="94"/>
      <c r="J25" s="386">
        <f>D25+E25+F25+G25+H25+I25</f>
        <v>603956</v>
      </c>
      <c r="K25" s="394">
        <f>C25+J25</f>
        <v>603956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>D29+D30</f>
        <v>0</v>
      </c>
      <c r="E28" s="210">
        <f aca="true" t="shared" si="4" ref="E28:K28">E29+E30</f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>+D33+D34+D35</f>
        <v>0</v>
      </c>
      <c r="E32" s="210">
        <f aca="true" t="shared" si="5" ref="E32:J32">+E33+E34+E35</f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42939424</v>
      </c>
      <c r="D38" s="210">
        <f>+D10+D22+D27+D28+D32+D36+D37</f>
        <v>301978</v>
      </c>
      <c r="E38" s="210">
        <f aca="true" t="shared" si="6" ref="E38:K38">+E10+E22+E27+E28+E32+E36+E37</f>
        <v>301978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603956</v>
      </c>
      <c r="K38" s="212">
        <f t="shared" si="6"/>
        <v>43543380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107288877</v>
      </c>
      <c r="D39" s="210">
        <f>+D40+D41+D42</f>
        <v>1401544</v>
      </c>
      <c r="E39" s="210">
        <f aca="true" t="shared" si="7" ref="E39:J39">+E40+E41+E42</f>
        <v>5822984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7224528</v>
      </c>
      <c r="K39" s="212">
        <f>+K40+K41+K42</f>
        <v>114513405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368394</v>
      </c>
      <c r="E40" s="392"/>
      <c r="F40" s="392"/>
      <c r="G40" s="392"/>
      <c r="H40" s="392"/>
      <c r="I40" s="392"/>
      <c r="J40" s="393">
        <f>D40+E40+F40+G40+H40+I40</f>
        <v>368394</v>
      </c>
      <c r="K40" s="384">
        <f>C40+J40</f>
        <v>368394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107288877</v>
      </c>
      <c r="D42" s="406">
        <v>1033150</v>
      </c>
      <c r="E42" s="406">
        <v>5822984</v>
      </c>
      <c r="F42" s="406"/>
      <c r="G42" s="406"/>
      <c r="H42" s="406"/>
      <c r="I42" s="406"/>
      <c r="J42" s="393">
        <f>D42+E42+F42+G42+H42+I42</f>
        <v>6856134</v>
      </c>
      <c r="K42" s="396">
        <f>C42+J42</f>
        <v>114145011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150228301</v>
      </c>
      <c r="D43" s="210">
        <f aca="true" t="shared" si="8" ref="D43:J43">+D38+D39</f>
        <v>1703522</v>
      </c>
      <c r="E43" s="210">
        <f t="shared" si="8"/>
        <v>6124962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7828484</v>
      </c>
      <c r="K43" s="212">
        <f>+K38+K39</f>
        <v>158056785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150228301</v>
      </c>
      <c r="D45" s="165">
        <f aca="true" t="shared" si="9" ref="D45:J45">SUM(D46:D50)</f>
        <v>1703522</v>
      </c>
      <c r="E45" s="165">
        <f t="shared" si="9"/>
        <v>5479850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7183372</v>
      </c>
      <c r="K45" s="211">
        <f>SUM(K46:K50)</f>
        <v>157411673</v>
      </c>
    </row>
    <row r="46" spans="1:11" ht="12" customHeight="1">
      <c r="A46" s="385" t="s">
        <v>140</v>
      </c>
      <c r="B46" s="139" t="s">
        <v>308</v>
      </c>
      <c r="C46" s="194">
        <v>60274459</v>
      </c>
      <c r="D46" s="409">
        <v>1117255</v>
      </c>
      <c r="E46" s="409">
        <v>5346972</v>
      </c>
      <c r="F46" s="409"/>
      <c r="G46" s="409"/>
      <c r="H46" s="409"/>
      <c r="I46" s="409"/>
      <c r="J46" s="411">
        <f>D46+E46+F46+G46+H46+I46</f>
        <v>6464227</v>
      </c>
      <c r="K46" s="412">
        <f>C46+J46</f>
        <v>66738686</v>
      </c>
    </row>
    <row r="47" spans="1:11" ht="12" customHeight="1">
      <c r="A47" s="385" t="s">
        <v>142</v>
      </c>
      <c r="B47" s="122" t="s">
        <v>309</v>
      </c>
      <c r="C47" s="199">
        <v>11469610</v>
      </c>
      <c r="D47" s="413">
        <v>217873</v>
      </c>
      <c r="E47" s="413">
        <v>957073</v>
      </c>
      <c r="F47" s="413"/>
      <c r="G47" s="413"/>
      <c r="H47" s="413"/>
      <c r="I47" s="413"/>
      <c r="J47" s="415">
        <f>D47+E47+F47+G47+H47+I47</f>
        <v>1174946</v>
      </c>
      <c r="K47" s="416">
        <f>C47+J47</f>
        <v>12644556</v>
      </c>
    </row>
    <row r="48" spans="1:11" ht="12" customHeight="1">
      <c r="A48" s="385" t="s">
        <v>144</v>
      </c>
      <c r="B48" s="122" t="s">
        <v>310</v>
      </c>
      <c r="C48" s="199">
        <v>78484232</v>
      </c>
      <c r="D48" s="413">
        <v>368394</v>
      </c>
      <c r="E48" s="413">
        <v>-824195</v>
      </c>
      <c r="F48" s="413"/>
      <c r="G48" s="413"/>
      <c r="H48" s="413"/>
      <c r="I48" s="413"/>
      <c r="J48" s="415">
        <f>D48+E48+F48+G48+H48+I48</f>
        <v>-455801</v>
      </c>
      <c r="K48" s="416">
        <f>C48+J48</f>
        <v>78028431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645112</v>
      </c>
      <c r="F51" s="428">
        <f t="shared" si="10"/>
        <v>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645112</v>
      </c>
      <c r="K51" s="211">
        <f>SUM(K52:K54)</f>
        <v>645112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645112</v>
      </c>
      <c r="F52" s="409"/>
      <c r="G52" s="409"/>
      <c r="H52" s="409"/>
      <c r="I52" s="409"/>
      <c r="J52" s="411">
        <f>D52+E52+F52+G52+H52+I52</f>
        <v>645112</v>
      </c>
      <c r="K52" s="412">
        <f>C52+J52</f>
        <v>645112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150228301</v>
      </c>
      <c r="D57" s="419">
        <f aca="true" t="shared" si="11" ref="D57:J57">+D45+D51+D56</f>
        <v>1703522</v>
      </c>
      <c r="E57" s="419">
        <f t="shared" si="11"/>
        <v>6124962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7828484</v>
      </c>
      <c r="K57" s="211">
        <f>+K45+K51+K56</f>
        <v>158056785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20</v>
      </c>
      <c r="D59" s="422">
        <v>0</v>
      </c>
      <c r="E59" s="422">
        <v>0</v>
      </c>
      <c r="F59" s="422"/>
      <c r="G59" s="422"/>
      <c r="H59" s="422"/>
      <c r="I59" s="422"/>
      <c r="J59" s="423">
        <f>D59+E59+F59+G59+H59+I59</f>
        <v>0</v>
      </c>
      <c r="K59" s="424">
        <f>C59+J59</f>
        <v>20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B2:J2"/>
    <mergeCell ref="B3:J3"/>
    <mergeCell ref="A5:A7"/>
    <mergeCell ref="B5:B7"/>
    <mergeCell ref="C5:C7"/>
    <mergeCell ref="D5:D7"/>
    <mergeCell ref="I5:I7"/>
    <mergeCell ref="J5:J7"/>
    <mergeCell ref="A9:K9"/>
    <mergeCell ref="E5:E7"/>
    <mergeCell ref="F5:F7"/>
    <mergeCell ref="G5:G7"/>
    <mergeCell ref="H5:H7"/>
    <mergeCell ref="A44:K44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1">
      <selection activeCell="E61" sqref="E61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CONCATENATE("5.5.2. melléklet ",RM_ALAPADATOK!A7," ",RM_ALAPADATOK!B7," ",RM_ALAPADATOK!C7," ",RM_ALAPADATOK!D7," ",RM_ALAPADATOK!E7," ",RM_ALAPADATOK!F7," ",RM_ALAPADATOK!G7," ",RM_ALAPADATOK!H7)</f>
        <v>5.5.2. melléklet a  / 2019 (  ) önkormányzati rendelethez</v>
      </c>
    </row>
    <row r="2" spans="1:11" s="369" customFormat="1" ht="36" customHeight="1">
      <c r="A2" s="367" t="s">
        <v>548</v>
      </c>
      <c r="B2" s="492" t="str">
        <f>CONCATENATE('RM_5.5.1.sz.mell'!B2:J2)</f>
        <v>Naplemente Idősek Otthona</v>
      </c>
      <c r="C2" s="492"/>
      <c r="D2" s="492"/>
      <c r="E2" s="492"/>
      <c r="F2" s="492"/>
      <c r="G2" s="492"/>
      <c r="H2" s="492"/>
      <c r="I2" s="492"/>
      <c r="J2" s="492"/>
      <c r="K2" s="368" t="s">
        <v>579</v>
      </c>
    </row>
    <row r="3" spans="1:11" s="369" customFormat="1" ht="22.5" customHeight="1">
      <c r="A3" s="370" t="s">
        <v>520</v>
      </c>
      <c r="B3" s="493" t="str">
        <f>CONCATENATE('RM_5.1.2.sz.mell'!B3:J3)</f>
        <v>Önként vállalt feladatok bevételeinek, kiadásainak módosítása</v>
      </c>
      <c r="C3" s="493"/>
      <c r="D3" s="493"/>
      <c r="E3" s="493"/>
      <c r="F3" s="493"/>
      <c r="G3" s="493"/>
      <c r="H3" s="493"/>
      <c r="I3" s="493"/>
      <c r="J3" s="493"/>
      <c r="K3" s="371" t="s">
        <v>546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495" t="s">
        <v>117</v>
      </c>
      <c r="B5" s="496" t="s">
        <v>118</v>
      </c>
      <c r="C5" s="496" t="s">
        <v>551</v>
      </c>
      <c r="D5" s="496" t="str">
        <f>CONCATENATE('RM_5.1.sz.mell'!D5:I5)</f>
        <v>1. sz. módosítás </v>
      </c>
      <c r="E5" s="496" t="str">
        <f>CONCATENATE('RM_5.1.sz.mell'!E5)</f>
        <v>2. sz. módosítás </v>
      </c>
      <c r="F5" s="496" t="str">
        <f>CONCATENATE('RM_5.1.sz.mell'!F5)</f>
        <v>3. sz. módosítás </v>
      </c>
      <c r="G5" s="496" t="str">
        <f>CONCATENATE('RM_5.1.sz.mell'!G5)</f>
        <v>4. sz. módosítás </v>
      </c>
      <c r="H5" s="496" t="str">
        <f>CONCATENATE('RM_5.1.sz.mell'!H5)</f>
        <v>.5. sz. módosítás </v>
      </c>
      <c r="I5" s="496" t="str">
        <f>CONCATENATE('RM_5.1.sz.mell'!I5)</f>
        <v>6. sz. módosítás </v>
      </c>
      <c r="J5" s="496" t="s">
        <v>552</v>
      </c>
      <c r="K5" s="498" t="str">
        <f>CONCATENATE('RM_5.5.1.sz.mell'!K5)</f>
        <v>2.számú módosítás utáni előirányzat</v>
      </c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8"/>
    </row>
    <row r="7" spans="1:11" s="374" customFormat="1" ht="9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8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497" t="s">
        <v>403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13096862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13096862</v>
      </c>
    </row>
    <row r="11" spans="1:11" s="379" customFormat="1" ht="12" customHeight="1">
      <c r="A11" s="380" t="s">
        <v>140</v>
      </c>
      <c r="B11" s="118" t="s">
        <v>199</v>
      </c>
      <c r="C11" s="381">
        <v>10312490</v>
      </c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10312490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>
        <v>2784372</v>
      </c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2784372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184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186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188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13096862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13096862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7578940</v>
      </c>
      <c r="D39" s="210">
        <f aca="true" t="shared" si="7" ref="D39:J39">+D40+D41+D42</f>
        <v>142633</v>
      </c>
      <c r="E39" s="210">
        <f t="shared" si="7"/>
        <v>357433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500066</v>
      </c>
      <c r="K39" s="212">
        <f>+K40+K41+K42</f>
        <v>8079006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/>
      <c r="E40" s="392"/>
      <c r="F40" s="392"/>
      <c r="G40" s="392"/>
      <c r="H40" s="392"/>
      <c r="I40" s="392"/>
      <c r="J40" s="393">
        <f>D40+E40+F40+G40+H40+I40</f>
        <v>0</v>
      </c>
      <c r="K40" s="384">
        <f>C40+J40</f>
        <v>0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7578940</v>
      </c>
      <c r="D42" s="406">
        <v>142633</v>
      </c>
      <c r="E42" s="406">
        <v>357433</v>
      </c>
      <c r="F42" s="406"/>
      <c r="G42" s="406"/>
      <c r="H42" s="406"/>
      <c r="I42" s="406"/>
      <c r="J42" s="393">
        <f>D42+E42+F42+G42+H42+I42</f>
        <v>500066</v>
      </c>
      <c r="K42" s="396">
        <f>C42+J42</f>
        <v>8079006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20675802</v>
      </c>
      <c r="D43" s="210">
        <f aca="true" t="shared" si="8" ref="D43:J43">+D38+D39</f>
        <v>142633</v>
      </c>
      <c r="E43" s="210">
        <f t="shared" si="8"/>
        <v>357433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500066</v>
      </c>
      <c r="K43" s="212">
        <f>+K38+K39</f>
        <v>21175868</v>
      </c>
    </row>
    <row r="44" spans="1:11" s="374" customFormat="1" ht="13.5" customHeight="1">
      <c r="A44" s="488" t="s">
        <v>404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20675802</v>
      </c>
      <c r="D45" s="165">
        <f aca="true" t="shared" si="9" ref="D45:J45">SUM(D46:D50)</f>
        <v>142633</v>
      </c>
      <c r="E45" s="165">
        <f t="shared" si="9"/>
        <v>184050</v>
      </c>
      <c r="F45" s="165">
        <f t="shared" si="9"/>
        <v>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326683</v>
      </c>
      <c r="K45" s="211">
        <f>SUM(K46:K50)</f>
        <v>21002485</v>
      </c>
    </row>
    <row r="46" spans="1:11" ht="12" customHeight="1">
      <c r="A46" s="385" t="s">
        <v>140</v>
      </c>
      <c r="B46" s="139" t="s">
        <v>308</v>
      </c>
      <c r="C46" s="194">
        <v>4464974</v>
      </c>
      <c r="D46" s="409">
        <v>119358</v>
      </c>
      <c r="E46" s="409">
        <v>154016</v>
      </c>
      <c r="F46" s="409"/>
      <c r="G46" s="409"/>
      <c r="H46" s="409"/>
      <c r="I46" s="409"/>
      <c r="J46" s="411">
        <f>D46+E46+F46+G46+H46+I46</f>
        <v>273374</v>
      </c>
      <c r="K46" s="412">
        <f>C46+J46</f>
        <v>4738348</v>
      </c>
    </row>
    <row r="47" spans="1:11" ht="12" customHeight="1">
      <c r="A47" s="385" t="s">
        <v>142</v>
      </c>
      <c r="B47" s="122" t="s">
        <v>309</v>
      </c>
      <c r="C47" s="199">
        <v>859885</v>
      </c>
      <c r="D47" s="413">
        <v>23275</v>
      </c>
      <c r="E47" s="413">
        <v>30034</v>
      </c>
      <c r="F47" s="413"/>
      <c r="G47" s="413"/>
      <c r="H47" s="413"/>
      <c r="I47" s="413"/>
      <c r="J47" s="415">
        <f>D47+E47+F47+G47+H47+I47</f>
        <v>53309</v>
      </c>
      <c r="K47" s="416">
        <f>C47+J47</f>
        <v>913194</v>
      </c>
    </row>
    <row r="48" spans="1:11" ht="12" customHeight="1">
      <c r="A48" s="385" t="s">
        <v>144</v>
      </c>
      <c r="B48" s="122" t="s">
        <v>310</v>
      </c>
      <c r="C48" s="199">
        <v>15350943</v>
      </c>
      <c r="D48" s="413"/>
      <c r="E48" s="413"/>
      <c r="F48" s="413"/>
      <c r="G48" s="413"/>
      <c r="H48" s="413"/>
      <c r="I48" s="413"/>
      <c r="J48" s="415">
        <f>D48+E48+F48+G48+H48+I48</f>
        <v>0</v>
      </c>
      <c r="K48" s="416">
        <f>C48+J48</f>
        <v>15350943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173383</v>
      </c>
      <c r="F51" s="428">
        <f t="shared" si="10"/>
        <v>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173383</v>
      </c>
      <c r="K51" s="211">
        <f>SUM(K52:K54)</f>
        <v>173383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173383</v>
      </c>
      <c r="F52" s="409"/>
      <c r="G52" s="409"/>
      <c r="H52" s="409"/>
      <c r="I52" s="409"/>
      <c r="J52" s="411">
        <f>D52+E52+F52+G52+H52+I52</f>
        <v>173383</v>
      </c>
      <c r="K52" s="412">
        <f>C52+J52</f>
        <v>173383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17"/>
      <c r="G56" s="417"/>
      <c r="H56" s="417"/>
      <c r="I56" s="417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20675802</v>
      </c>
      <c r="D57" s="419">
        <f aca="true" t="shared" si="11" ref="D57:J57">+D45+D51+D56</f>
        <v>142633</v>
      </c>
      <c r="E57" s="419">
        <f t="shared" si="11"/>
        <v>357433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500066</v>
      </c>
      <c r="K57" s="211">
        <f>+K45+K51+K56</f>
        <v>21175868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4</v>
      </c>
      <c r="D59" s="422">
        <v>0</v>
      </c>
      <c r="E59" s="422">
        <v>0</v>
      </c>
      <c r="F59" s="422"/>
      <c r="G59" s="422"/>
      <c r="H59" s="422"/>
      <c r="I59" s="422"/>
      <c r="J59" s="423">
        <f>D59+E59+F59+G59+H59+I59</f>
        <v>0</v>
      </c>
      <c r="K59" s="424">
        <f>C59+J59</f>
        <v>4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/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B2:J2"/>
    <mergeCell ref="B3:J3"/>
    <mergeCell ref="A5:A7"/>
    <mergeCell ref="B5:B7"/>
    <mergeCell ref="C5:C7"/>
    <mergeCell ref="D5:D7"/>
    <mergeCell ref="I5:I7"/>
    <mergeCell ref="J5:J7"/>
    <mergeCell ref="A9:K9"/>
    <mergeCell ref="E5:E7"/>
    <mergeCell ref="F5:F7"/>
    <mergeCell ref="G5:G7"/>
    <mergeCell ref="H5:H7"/>
    <mergeCell ref="A44:K44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1"/>
  <sheetViews>
    <sheetView zoomScale="120" zoomScaleNormal="120" zoomScalePageLayoutView="0" workbookViewId="0" topLeftCell="A16">
      <selection activeCell="D26" sqref="D26"/>
    </sheetView>
  </sheetViews>
  <sheetFormatPr defaultColWidth="9.00390625" defaultRowHeight="12.75"/>
  <cols>
    <col min="1" max="1" width="16.50390625" style="431" customWidth="1"/>
    <col min="2" max="2" width="88.625" style="431" customWidth="1"/>
    <col min="3" max="3" width="15.875" style="431" customWidth="1"/>
    <col min="4" max="4" width="16.875" style="431" customWidth="1"/>
    <col min="5" max="5" width="4.875" style="432" customWidth="1"/>
    <col min="6" max="16384" width="9.375" style="431" customWidth="1"/>
  </cols>
  <sheetData>
    <row r="1" spans="2:5" ht="47.25" customHeight="1">
      <c r="B1" s="499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499"/>
      <c r="D1" s="499"/>
      <c r="E1" s="500" t="str">
        <f>CONCATENATE("6. melléklet ",RM_ALAPADATOK!A7," ",RM_ALAPADATOK!B7," ",RM_ALAPADATOK!C7," ",RM_ALAPADATOK!D7," ",RM_ALAPADATOK!E7," ",RM_ALAPADATOK!F7," ",RM_ALAPADATOK!G7," ",RM_ALAPADATOK!H7)</f>
        <v>6. melléklet a  / 2019 (  ) önkormányzati rendelethez</v>
      </c>
    </row>
    <row r="2" spans="2:5" ht="22.5" customHeight="1">
      <c r="B2" s="433"/>
      <c r="C2" s="433"/>
      <c r="D2" s="434" t="s">
        <v>580</v>
      </c>
      <c r="E2" s="500"/>
    </row>
    <row r="3" spans="1:5" s="438" customFormat="1" ht="54" customHeight="1">
      <c r="A3" s="435" t="s">
        <v>581</v>
      </c>
      <c r="B3" s="436" t="s">
        <v>582</v>
      </c>
      <c r="C3" s="437" t="str">
        <f>+CONCATENATE(RM_ALAPADATOK!D7,". évi tervezett támogatás összesen")</f>
        <v>2019. évi tervezett támogatás összesen</v>
      </c>
      <c r="D3" s="437" t="s">
        <v>583</v>
      </c>
      <c r="E3" s="500"/>
    </row>
    <row r="4" spans="1:5" s="443" customFormat="1" ht="12.75">
      <c r="A4" s="439" t="s">
        <v>127</v>
      </c>
      <c r="B4" s="440" t="s">
        <v>128</v>
      </c>
      <c r="C4" s="441"/>
      <c r="D4" s="442" t="s">
        <v>129</v>
      </c>
      <c r="E4" s="500"/>
    </row>
    <row r="5" spans="1:5" ht="12.75">
      <c r="A5" s="444" t="s">
        <v>584</v>
      </c>
      <c r="B5" s="445" t="s">
        <v>585</v>
      </c>
      <c r="C5" s="446">
        <v>104836200</v>
      </c>
      <c r="D5" s="446">
        <v>104836200</v>
      </c>
      <c r="E5" s="500"/>
    </row>
    <row r="6" spans="1:5" ht="12.75" customHeight="1">
      <c r="A6" s="447" t="s">
        <v>586</v>
      </c>
      <c r="B6" s="448" t="s">
        <v>587</v>
      </c>
      <c r="C6" s="449">
        <v>7421440</v>
      </c>
      <c r="D6" s="449">
        <v>7421440</v>
      </c>
      <c r="E6" s="500"/>
    </row>
    <row r="7" spans="1:5" ht="12.75">
      <c r="A7" s="447" t="s">
        <v>588</v>
      </c>
      <c r="B7" s="448" t="s">
        <v>589</v>
      </c>
      <c r="C7" s="449">
        <v>10368000</v>
      </c>
      <c r="D7" s="449">
        <v>10368000</v>
      </c>
      <c r="E7" s="500"/>
    </row>
    <row r="8" spans="1:5" ht="12.75">
      <c r="A8" s="447" t="s">
        <v>590</v>
      </c>
      <c r="B8" s="448" t="s">
        <v>591</v>
      </c>
      <c r="C8" s="449">
        <v>100000</v>
      </c>
      <c r="D8" s="449">
        <v>100000</v>
      </c>
      <c r="E8" s="500"/>
    </row>
    <row r="9" spans="1:5" ht="12.75">
      <c r="A9" s="447" t="s">
        <v>592</v>
      </c>
      <c r="B9" s="448" t="s">
        <v>593</v>
      </c>
      <c r="C9" s="449">
        <v>8006290</v>
      </c>
      <c r="D9" s="449">
        <v>8006290</v>
      </c>
      <c r="E9" s="500"/>
    </row>
    <row r="10" spans="1:5" ht="12.75">
      <c r="A10" s="447" t="s">
        <v>594</v>
      </c>
      <c r="B10" s="448" t="s">
        <v>595</v>
      </c>
      <c r="C10" s="449">
        <v>13113900</v>
      </c>
      <c r="D10" s="449">
        <v>13113900</v>
      </c>
      <c r="E10" s="500"/>
    </row>
    <row r="11" spans="1:5" ht="12.75">
      <c r="A11" s="447" t="s">
        <v>596</v>
      </c>
      <c r="B11" s="448" t="s">
        <v>597</v>
      </c>
      <c r="C11" s="449">
        <v>94350</v>
      </c>
      <c r="D11" s="449">
        <v>94350</v>
      </c>
      <c r="E11" s="500"/>
    </row>
    <row r="12" spans="1:5" ht="12.75">
      <c r="A12" s="447" t="s">
        <v>598</v>
      </c>
      <c r="B12" s="450" t="s">
        <v>599</v>
      </c>
      <c r="C12" s="449">
        <v>35709068</v>
      </c>
      <c r="D12" s="449">
        <v>35709068</v>
      </c>
      <c r="E12" s="500"/>
    </row>
    <row r="13" spans="1:5" ht="12.75">
      <c r="A13" s="447" t="s">
        <v>600</v>
      </c>
      <c r="B13" s="451" t="s">
        <v>601</v>
      </c>
      <c r="C13" s="449"/>
      <c r="D13" s="452">
        <v>1261695</v>
      </c>
      <c r="E13" s="500"/>
    </row>
    <row r="14" spans="1:5" ht="12.75">
      <c r="A14" s="447" t="s">
        <v>602</v>
      </c>
      <c r="B14" s="448" t="s">
        <v>603</v>
      </c>
      <c r="C14" s="449">
        <v>972400</v>
      </c>
      <c r="D14" s="449">
        <v>972400</v>
      </c>
      <c r="E14" s="500"/>
    </row>
    <row r="15" spans="1:9" ht="12.75" customHeight="1">
      <c r="A15" s="447" t="s">
        <v>604</v>
      </c>
      <c r="B15" s="448" t="s">
        <v>605</v>
      </c>
      <c r="C15" s="449">
        <v>75217334</v>
      </c>
      <c r="D15" s="449">
        <v>75143826</v>
      </c>
      <c r="E15" s="500"/>
      <c r="I15" s="451"/>
    </row>
    <row r="16" spans="1:5" ht="12.75">
      <c r="A16" s="447" t="s">
        <v>606</v>
      </c>
      <c r="B16" s="448" t="s">
        <v>607</v>
      </c>
      <c r="C16" s="449">
        <v>13798334</v>
      </c>
      <c r="D16" s="449">
        <v>13700934</v>
      </c>
      <c r="E16" s="500"/>
    </row>
    <row r="17" spans="1:5" ht="12.75">
      <c r="A17" s="447" t="s">
        <v>608</v>
      </c>
      <c r="B17" s="448" t="s">
        <v>609</v>
      </c>
      <c r="C17" s="449">
        <v>2815000</v>
      </c>
      <c r="D17" s="449">
        <v>2815000</v>
      </c>
      <c r="E17" s="500"/>
    </row>
    <row r="18" spans="1:5" ht="12.75">
      <c r="A18" s="447" t="s">
        <v>610</v>
      </c>
      <c r="B18" s="453" t="s">
        <v>611</v>
      </c>
      <c r="C18" s="449"/>
      <c r="D18" s="452">
        <v>1666237</v>
      </c>
      <c r="E18" s="500"/>
    </row>
    <row r="19" spans="1:5" ht="12.75">
      <c r="A19" s="447" t="s">
        <v>612</v>
      </c>
      <c r="B19" s="448" t="s">
        <v>613</v>
      </c>
      <c r="C19" s="449">
        <v>38043000</v>
      </c>
      <c r="D19" s="449">
        <v>38043000</v>
      </c>
      <c r="E19" s="500"/>
    </row>
    <row r="20" spans="1:5" ht="12.75">
      <c r="A20" s="447" t="s">
        <v>614</v>
      </c>
      <c r="B20" s="448" t="s">
        <v>615</v>
      </c>
      <c r="C20" s="449">
        <v>6089600</v>
      </c>
      <c r="D20" s="449">
        <v>6366400</v>
      </c>
      <c r="E20" s="500"/>
    </row>
    <row r="21" spans="1:5" ht="12.75">
      <c r="A21" s="447" t="s">
        <v>616</v>
      </c>
      <c r="B21" s="448" t="s">
        <v>617</v>
      </c>
      <c r="C21" s="449">
        <v>25632000</v>
      </c>
      <c r="D21" s="449">
        <v>25632000</v>
      </c>
      <c r="E21" s="500"/>
    </row>
    <row r="22" spans="1:5" ht="12.75">
      <c r="A22" s="447" t="s">
        <v>618</v>
      </c>
      <c r="B22" s="448" t="s">
        <v>619</v>
      </c>
      <c r="C22" s="449">
        <v>11901000</v>
      </c>
      <c r="D22" s="449">
        <v>11901000</v>
      </c>
      <c r="E22" s="500"/>
    </row>
    <row r="23" spans="1:5" ht="12.75">
      <c r="A23" s="447" t="s">
        <v>620</v>
      </c>
      <c r="B23" s="448" t="s">
        <v>621</v>
      </c>
      <c r="C23" s="449">
        <v>15827000</v>
      </c>
      <c r="D23" s="449">
        <v>15827000</v>
      </c>
      <c r="E23" s="500"/>
    </row>
    <row r="24" spans="1:5" ht="12.75">
      <c r="A24" s="447" t="s">
        <v>622</v>
      </c>
      <c r="B24" s="448" t="s">
        <v>623</v>
      </c>
      <c r="C24" s="449">
        <v>27447632</v>
      </c>
      <c r="D24" s="449">
        <v>27447632</v>
      </c>
      <c r="E24" s="500"/>
    </row>
    <row r="25" spans="1:5" ht="12.75">
      <c r="A25" s="447" t="s">
        <v>624</v>
      </c>
      <c r="B25" s="448" t="s">
        <v>625</v>
      </c>
      <c r="C25" s="449">
        <v>3078000</v>
      </c>
      <c r="D25" s="449">
        <v>3072300</v>
      </c>
      <c r="E25" s="500"/>
    </row>
    <row r="26" spans="1:5" ht="22.5">
      <c r="A26" s="447" t="s">
        <v>626</v>
      </c>
      <c r="B26" s="448" t="s">
        <v>627</v>
      </c>
      <c r="C26" s="449">
        <v>5986000</v>
      </c>
      <c r="D26" s="449">
        <v>5986000</v>
      </c>
      <c r="E26" s="500"/>
    </row>
    <row r="27" spans="1:5" ht="12.75">
      <c r="A27" s="447" t="s">
        <v>628</v>
      </c>
      <c r="B27" s="448" t="s">
        <v>629</v>
      </c>
      <c r="C27" s="449">
        <v>1614000</v>
      </c>
      <c r="D27" s="449">
        <v>1614000</v>
      </c>
      <c r="E27" s="500"/>
    </row>
    <row r="28" spans="1:5" ht="12.75">
      <c r="A28" s="454" t="s">
        <v>630</v>
      </c>
      <c r="B28" s="455" t="s">
        <v>631</v>
      </c>
      <c r="C28" s="456">
        <v>5876970</v>
      </c>
      <c r="D28" s="456">
        <v>5876970</v>
      </c>
      <c r="E28" s="500"/>
    </row>
    <row r="29" spans="1:5" ht="12.75">
      <c r="A29" s="454" t="s">
        <v>632</v>
      </c>
      <c r="B29" s="455" t="s">
        <v>633</v>
      </c>
      <c r="C29" s="456"/>
      <c r="D29" s="457">
        <v>301141</v>
      </c>
      <c r="E29" s="500"/>
    </row>
    <row r="30" spans="1:5" s="462" customFormat="1" ht="19.5" customHeight="1">
      <c r="A30" s="458"/>
      <c r="B30" s="459" t="s">
        <v>634</v>
      </c>
      <c r="C30" s="460">
        <f>SUM(C5:C29)</f>
        <v>413947518</v>
      </c>
      <c r="D30" s="461">
        <f>SUM(D5:D29)</f>
        <v>417276783</v>
      </c>
      <c r="E30" s="500"/>
    </row>
    <row r="31" spans="1:2" ht="12.75">
      <c r="A31" s="501" t="s">
        <v>635</v>
      </c>
      <c r="B31" s="501"/>
    </row>
  </sheetData>
  <sheetProtection selectLockedCells="1" selectUnlockedCells="1"/>
  <mergeCells count="3">
    <mergeCell ref="B1:D1"/>
    <mergeCell ref="E1:E30"/>
    <mergeCell ref="A31:B3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120" zoomScaleNormal="120" zoomScalePageLayoutView="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4" t="s">
        <v>75</v>
      </c>
      <c r="B1" s="15"/>
    </row>
    <row r="2" spans="1:2" ht="12.75">
      <c r="A2" s="15"/>
      <c r="B2" s="15"/>
    </row>
    <row r="3" spans="1:2" ht="12.75">
      <c r="A3" s="16"/>
      <c r="B3" s="16"/>
    </row>
    <row r="4" spans="1:2" ht="15.75">
      <c r="A4" s="17"/>
      <c r="B4" s="18"/>
    </row>
    <row r="5" spans="1:2" ht="15.75">
      <c r="A5" s="17"/>
      <c r="B5" s="18"/>
    </row>
    <row r="6" spans="1:2" s="19" customFormat="1" ht="15.75">
      <c r="A6" s="17" t="s">
        <v>76</v>
      </c>
      <c r="B6" s="16"/>
    </row>
    <row r="7" spans="1:2" s="19" customFormat="1" ht="12.75">
      <c r="A7" s="16"/>
      <c r="B7" s="16"/>
    </row>
    <row r="8" spans="1:2" s="19" customFormat="1" ht="12.75">
      <c r="A8" s="16"/>
      <c r="B8" s="16"/>
    </row>
    <row r="9" spans="1:2" ht="12.75">
      <c r="A9" s="16" t="s">
        <v>77</v>
      </c>
      <c r="B9" s="16" t="s">
        <v>78</v>
      </c>
    </row>
    <row r="10" spans="1:2" ht="12.75">
      <c r="A10" s="16" t="s">
        <v>79</v>
      </c>
      <c r="B10" s="16" t="s">
        <v>80</v>
      </c>
    </row>
    <row r="11" spans="1:2" ht="12.75">
      <c r="A11" s="16" t="s">
        <v>81</v>
      </c>
      <c r="B11" s="16" t="s">
        <v>82</v>
      </c>
    </row>
    <row r="12" spans="1:2" ht="12.75">
      <c r="A12" s="16"/>
      <c r="B12" s="16"/>
    </row>
    <row r="13" spans="1:2" ht="15.75">
      <c r="A13" s="17" t="str">
        <f>+CONCATENATE(LEFT(A6,4),". évi előirányzat módosítások BEVÉTELEK")</f>
        <v>2019. évi előirányzat módosítások BEVÉTELEK</v>
      </c>
      <c r="B13" s="18"/>
    </row>
    <row r="14" spans="1:2" ht="12.75">
      <c r="A14" s="16"/>
      <c r="B14" s="16"/>
    </row>
    <row r="15" spans="1:2" s="19" customFormat="1" ht="12.75">
      <c r="A15" s="16" t="s">
        <v>83</v>
      </c>
      <c r="B15" s="16" t="s">
        <v>84</v>
      </c>
    </row>
    <row r="16" spans="1:2" ht="12.75">
      <c r="A16" s="16" t="s">
        <v>85</v>
      </c>
      <c r="B16" s="16" t="s">
        <v>86</v>
      </c>
    </row>
    <row r="17" spans="1:2" ht="12.75">
      <c r="A17" s="16" t="s">
        <v>87</v>
      </c>
      <c r="B17" s="16" t="s">
        <v>88</v>
      </c>
    </row>
    <row r="18" spans="1:2" ht="12.75">
      <c r="A18" s="16"/>
      <c r="B18" s="16"/>
    </row>
    <row r="19" spans="1:2" ht="14.25">
      <c r="A19" s="20" t="str">
        <f>+CONCATENATE(LEFT(A6,4),". módosítás utáni módosított előrirányzatok BEVÉTELEK")</f>
        <v>2019. módosítás utáni módosított előrirányzatok BEVÉTELEK</v>
      </c>
      <c r="B19" s="18"/>
    </row>
    <row r="20" spans="1:2" ht="12.75">
      <c r="A20" s="16"/>
      <c r="B20" s="16"/>
    </row>
    <row r="21" spans="1:2" ht="12.75">
      <c r="A21" s="16" t="s">
        <v>89</v>
      </c>
      <c r="B21" s="16" t="s">
        <v>90</v>
      </c>
    </row>
    <row r="22" spans="1:2" ht="12.75">
      <c r="A22" s="16" t="s">
        <v>91</v>
      </c>
      <c r="B22" s="16" t="s">
        <v>92</v>
      </c>
    </row>
    <row r="23" spans="1:2" ht="12.75">
      <c r="A23" s="16" t="s">
        <v>93</v>
      </c>
      <c r="B23" s="16" t="s">
        <v>94</v>
      </c>
    </row>
    <row r="24" spans="1:2" ht="12.75">
      <c r="A24" s="16"/>
      <c r="B24" s="16"/>
    </row>
    <row r="25" spans="1:2" ht="15.75">
      <c r="A25" s="17" t="str">
        <f>+CONCATENATE(LEFT(A6,4),". évi eredeti előirányzat KIADÁSOK")</f>
        <v>2019. évi eredeti előirányzat KIADÁSOK</v>
      </c>
      <c r="B25" s="18"/>
    </row>
    <row r="26" spans="1:2" ht="12.75">
      <c r="A26" s="16"/>
      <c r="B26" s="16"/>
    </row>
    <row r="27" spans="1:2" ht="12.75">
      <c r="A27" s="16" t="s">
        <v>95</v>
      </c>
      <c r="B27" s="16" t="s">
        <v>96</v>
      </c>
    </row>
    <row r="28" spans="1:2" ht="12.75">
      <c r="A28" s="16" t="s">
        <v>97</v>
      </c>
      <c r="B28" s="16" t="s">
        <v>98</v>
      </c>
    </row>
    <row r="29" spans="1:2" ht="12.75">
      <c r="A29" s="16" t="s">
        <v>99</v>
      </c>
      <c r="B29" s="16" t="s">
        <v>100</v>
      </c>
    </row>
    <row r="30" spans="1:2" ht="12.75">
      <c r="A30" s="16"/>
      <c r="B30" s="16"/>
    </row>
    <row r="31" spans="1:2" ht="15.75">
      <c r="A31" s="17" t="str">
        <f>+CONCATENATE(LEFT(A6,4),". évi előirányzat módosítások KIADÁSOK")</f>
        <v>2019. évi előirányzat módosítások KIADÁSOK</v>
      </c>
      <c r="B31" s="18"/>
    </row>
    <row r="32" spans="1:2" ht="12.75">
      <c r="A32" s="16"/>
      <c r="B32" s="16"/>
    </row>
    <row r="33" spans="1:2" ht="12.75">
      <c r="A33" s="16" t="s">
        <v>101</v>
      </c>
      <c r="B33" s="16" t="s">
        <v>102</v>
      </c>
    </row>
    <row r="34" spans="1:2" ht="12.75">
      <c r="A34" s="16" t="s">
        <v>103</v>
      </c>
      <c r="B34" s="16" t="s">
        <v>104</v>
      </c>
    </row>
    <row r="35" spans="1:2" ht="12.75">
      <c r="A35" s="16" t="s">
        <v>105</v>
      </c>
      <c r="B35" s="16" t="s">
        <v>106</v>
      </c>
    </row>
    <row r="36" spans="1:2" ht="12.75">
      <c r="A36" s="16"/>
      <c r="B36" s="16"/>
    </row>
    <row r="37" spans="1:2" ht="15.75">
      <c r="A37" s="21" t="str">
        <f>+CONCATENATE(LEFT(A6,4),". módosítás utáni módosított előirányzatok KIADÁSOK")</f>
        <v>2019. módosítás utáni módosított előirányzatok KIADÁSOK</v>
      </c>
      <c r="B37" s="18"/>
    </row>
    <row r="38" spans="1:2" ht="12.75">
      <c r="A38" s="16"/>
      <c r="B38" s="16"/>
    </row>
    <row r="39" spans="1:2" ht="12.75">
      <c r="A39" s="16" t="s">
        <v>107</v>
      </c>
      <c r="B39" s="16" t="s">
        <v>108</v>
      </c>
    </row>
    <row r="40" spans="1:2" ht="12.75">
      <c r="A40" s="16" t="s">
        <v>109</v>
      </c>
      <c r="B40" s="16" t="s">
        <v>110</v>
      </c>
    </row>
    <row r="41" spans="1:2" ht="12.75">
      <c r="A41" s="16" t="s">
        <v>111</v>
      </c>
      <c r="B41" s="16" t="s">
        <v>112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tabSelected="1" zoomScale="120" zoomScaleNormal="120" zoomScaleSheetLayoutView="100" zoomScalePageLayoutView="0" workbookViewId="0" topLeftCell="A97">
      <selection activeCell="C79" sqref="C79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71" t="str">
        <f>CONCATENATE("1.1. melléklet ",RM_ALAPADATOK!A7," ",RM_ALAPADATOK!B7," ",RM_ALAPADATOK!C7," ",RM_ALAPADATOK!D7," ",RM_ALAPADATOK!E7," ",RM_ALAPADATOK!F7," ",RM_ALAPADATOK!G7," ",RM_ALAPADATOK!H7)</f>
        <v>1.1. melléklet a  / 2019 (  ) önkormányzati rendelethez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72">
        <f>CONCATENATE(RM_ALAPADATOK!A4)</f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5.75">
      <c r="A4" s="472" t="s">
        <v>113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73" t="s">
        <v>114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</row>
    <row r="7" spans="1:11" ht="15.75" customHeight="1">
      <c r="A7" s="474" t="s">
        <v>115</v>
      </c>
      <c r="B7" s="4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75" t="s">
        <v>117</v>
      </c>
      <c r="B8" s="476" t="s">
        <v>118</v>
      </c>
      <c r="C8" s="477" t="str">
        <f>+CONCATENATE(LEFT(RM_ÖSSZEFÜGGÉSEK!A6,4),". évi")</f>
        <v>2019. évi</v>
      </c>
      <c r="D8" s="477"/>
      <c r="E8" s="477"/>
      <c r="F8" s="477"/>
      <c r="G8" s="477"/>
      <c r="H8" s="477"/>
      <c r="I8" s="477"/>
      <c r="J8" s="477"/>
      <c r="K8" s="477"/>
    </row>
    <row r="9" spans="1:11" ht="48">
      <c r="A9" s="475"/>
      <c r="B9" s="476"/>
      <c r="C9" s="29" t="s">
        <v>119</v>
      </c>
      <c r="D9" s="30" t="s">
        <v>120</v>
      </c>
      <c r="E9" s="30" t="s">
        <v>121</v>
      </c>
      <c r="F9" s="30" t="s">
        <v>122</v>
      </c>
      <c r="G9" s="30" t="s">
        <v>123</v>
      </c>
      <c r="H9" s="30" t="s">
        <v>124</v>
      </c>
      <c r="I9" s="30" t="s">
        <v>125</v>
      </c>
      <c r="J9" s="31" t="s">
        <v>126</v>
      </c>
      <c r="K9" s="32" t="s">
        <v>636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1">
        <f>+C12+C13+C14+C15+C16+C17</f>
        <v>413947518</v>
      </c>
      <c r="D11" s="42">
        <f>+D12+D13+D14+D15+D16+D17</f>
        <v>1583166</v>
      </c>
      <c r="E11" s="43">
        <f aca="true" t="shared" si="0" ref="E11:K11">+E12+E13+E14+E15+E16+E17</f>
        <v>32284099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33867265</v>
      </c>
      <c r="K11" s="44">
        <f t="shared" si="0"/>
        <v>447814783</v>
      </c>
    </row>
    <row r="12" spans="1:11" s="45" customFormat="1" ht="12" customHeight="1">
      <c r="A12" s="46" t="s">
        <v>140</v>
      </c>
      <c r="B12" s="47" t="s">
        <v>141</v>
      </c>
      <c r="C12" s="48">
        <v>180621648</v>
      </c>
      <c r="D12" s="49">
        <v>175069</v>
      </c>
      <c r="E12" s="49">
        <v>1086626</v>
      </c>
      <c r="F12" s="50"/>
      <c r="G12" s="50"/>
      <c r="H12" s="50"/>
      <c r="I12" s="50"/>
      <c r="J12" s="51">
        <f aca="true" t="shared" si="1" ref="J12:J17">D12+E12+F12+G12+H12+I12</f>
        <v>1261695</v>
      </c>
      <c r="K12" s="52">
        <f aca="true" t="shared" si="2" ref="K12:K17">C12+J12</f>
        <v>181883343</v>
      </c>
    </row>
    <row r="13" spans="1:11" s="45" customFormat="1" ht="12" customHeight="1">
      <c r="A13" s="53" t="s">
        <v>142</v>
      </c>
      <c r="B13" s="54" t="s">
        <v>143</v>
      </c>
      <c r="C13" s="55">
        <v>91830668</v>
      </c>
      <c r="D13" s="56"/>
      <c r="E13" s="56">
        <v>-170908</v>
      </c>
      <c r="F13" s="50"/>
      <c r="G13" s="50"/>
      <c r="H13" s="50"/>
      <c r="I13" s="50"/>
      <c r="J13" s="51">
        <f t="shared" si="1"/>
        <v>-170908</v>
      </c>
      <c r="K13" s="52">
        <f t="shared" si="2"/>
        <v>91659760</v>
      </c>
    </row>
    <row r="14" spans="1:11" s="45" customFormat="1" ht="12" customHeight="1">
      <c r="A14" s="53" t="s">
        <v>144</v>
      </c>
      <c r="B14" s="54" t="s">
        <v>145</v>
      </c>
      <c r="C14" s="55">
        <v>135618232</v>
      </c>
      <c r="D14" s="56">
        <v>887307</v>
      </c>
      <c r="E14" s="56">
        <v>1050030</v>
      </c>
      <c r="F14" s="50"/>
      <c r="G14" s="50"/>
      <c r="H14" s="50"/>
      <c r="I14" s="50"/>
      <c r="J14" s="51">
        <f t="shared" si="1"/>
        <v>1937337</v>
      </c>
      <c r="K14" s="52">
        <f t="shared" si="2"/>
        <v>137555569</v>
      </c>
    </row>
    <row r="15" spans="1:11" s="45" customFormat="1" ht="12" customHeight="1">
      <c r="A15" s="53" t="s">
        <v>146</v>
      </c>
      <c r="B15" s="54" t="s">
        <v>147</v>
      </c>
      <c r="C15" s="55">
        <v>5876970</v>
      </c>
      <c r="D15" s="56">
        <v>150571</v>
      </c>
      <c r="E15" s="56">
        <v>150570</v>
      </c>
      <c r="F15" s="50"/>
      <c r="G15" s="50"/>
      <c r="H15" s="50"/>
      <c r="I15" s="50"/>
      <c r="J15" s="51">
        <f t="shared" si="1"/>
        <v>301141</v>
      </c>
      <c r="K15" s="52">
        <f t="shared" si="2"/>
        <v>6178111</v>
      </c>
    </row>
    <row r="16" spans="1:11" s="45" customFormat="1" ht="12" customHeight="1">
      <c r="A16" s="53" t="s">
        <v>148</v>
      </c>
      <c r="B16" s="57" t="s">
        <v>149</v>
      </c>
      <c r="C16" s="55"/>
      <c r="D16" s="56">
        <v>370219</v>
      </c>
      <c r="E16" s="56">
        <v>30167781</v>
      </c>
      <c r="F16" s="50"/>
      <c r="G16" s="50"/>
      <c r="H16" s="50"/>
      <c r="I16" s="50"/>
      <c r="J16" s="51">
        <f t="shared" si="1"/>
        <v>30538000</v>
      </c>
      <c r="K16" s="52">
        <f t="shared" si="2"/>
        <v>30538000</v>
      </c>
    </row>
    <row r="17" spans="1:11" s="45" customFormat="1" ht="12" customHeight="1">
      <c r="A17" s="58" t="s">
        <v>150</v>
      </c>
      <c r="B17" s="59" t="s">
        <v>151</v>
      </c>
      <c r="C17" s="55"/>
      <c r="D17" s="56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1">
        <f>+C19+C20+C21+C22+C23</f>
        <v>22781887</v>
      </c>
      <c r="D18" s="42">
        <f>+D19+D20+D21+D22+D23</f>
        <v>159906925</v>
      </c>
      <c r="E18" s="43">
        <f aca="true" t="shared" si="3" ref="E18:K18">+E19+E20+E21+E22+E23</f>
        <v>8301961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168208886</v>
      </c>
      <c r="K18" s="44">
        <f t="shared" si="3"/>
        <v>190990773</v>
      </c>
    </row>
    <row r="19" spans="1:11" s="45" customFormat="1" ht="12" customHeight="1">
      <c r="A19" s="46" t="s">
        <v>154</v>
      </c>
      <c r="B19" s="47" t="s">
        <v>155</v>
      </c>
      <c r="C19" s="48"/>
      <c r="D19" s="49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55"/>
      <c r="D20" s="56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55"/>
      <c r="D21" s="56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55"/>
      <c r="D22" s="56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55">
        <v>22781887</v>
      </c>
      <c r="D23" s="56">
        <v>159906925</v>
      </c>
      <c r="E23" s="50">
        <v>8301961</v>
      </c>
      <c r="F23" s="50"/>
      <c r="G23" s="50"/>
      <c r="H23" s="50"/>
      <c r="I23" s="50"/>
      <c r="J23" s="51">
        <f t="shared" si="4"/>
        <v>168208886</v>
      </c>
      <c r="K23" s="52">
        <f t="shared" si="5"/>
        <v>190990773</v>
      </c>
    </row>
    <row r="24" spans="1:11" s="45" customFormat="1" ht="12" customHeight="1">
      <c r="A24" s="58" t="s">
        <v>164</v>
      </c>
      <c r="B24" s="59" t="s">
        <v>165</v>
      </c>
      <c r="C24" s="61">
        <v>3139296</v>
      </c>
      <c r="D24" s="62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3139296</v>
      </c>
    </row>
    <row r="25" spans="1:11" s="45" customFormat="1" ht="12" customHeight="1">
      <c r="A25" s="39" t="s">
        <v>166</v>
      </c>
      <c r="B25" s="40" t="s">
        <v>167</v>
      </c>
      <c r="C25" s="41">
        <f>+C26+C27+C28+C29+C30</f>
        <v>8856290</v>
      </c>
      <c r="D25" s="42">
        <f>+D26+D27+D28+D29+D30</f>
        <v>51937034</v>
      </c>
      <c r="E25" s="43">
        <f aca="true" t="shared" si="6" ref="E25:K25">+E26+E27+E28+E29+E30</f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51937034</v>
      </c>
      <c r="K25" s="44">
        <f t="shared" si="6"/>
        <v>60793324</v>
      </c>
    </row>
    <row r="26" spans="1:11" s="45" customFormat="1" ht="12" customHeight="1">
      <c r="A26" s="46" t="s">
        <v>168</v>
      </c>
      <c r="B26" s="47" t="s">
        <v>169</v>
      </c>
      <c r="C26" s="48">
        <v>8856290</v>
      </c>
      <c r="D26" s="49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8856290</v>
      </c>
    </row>
    <row r="27" spans="1:11" s="45" customFormat="1" ht="12" customHeight="1">
      <c r="A27" s="53" t="s">
        <v>170</v>
      </c>
      <c r="B27" s="54" t="s">
        <v>171</v>
      </c>
      <c r="C27" s="55"/>
      <c r="D27" s="56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55"/>
      <c r="D28" s="56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55"/>
      <c r="D29" s="56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55"/>
      <c r="D30" s="56">
        <v>51937034</v>
      </c>
      <c r="E30" s="50"/>
      <c r="F30" s="50"/>
      <c r="G30" s="50"/>
      <c r="H30" s="50"/>
      <c r="I30" s="50"/>
      <c r="J30" s="51">
        <f t="shared" si="7"/>
        <v>51937034</v>
      </c>
      <c r="K30" s="52">
        <f t="shared" si="8"/>
        <v>51937034</v>
      </c>
    </row>
    <row r="31" spans="1:11" s="45" customFormat="1" ht="12" customHeight="1">
      <c r="A31" s="58" t="s">
        <v>178</v>
      </c>
      <c r="B31" s="64" t="s">
        <v>179</v>
      </c>
      <c r="C31" s="65"/>
      <c r="D31" s="62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1">
        <f>SUM(C33:C39)</f>
        <v>60000000</v>
      </c>
      <c r="D32" s="43">
        <f>+D33+D34+D35+D36+D37+D38+D39</f>
        <v>0</v>
      </c>
      <c r="E32" s="43">
        <f aca="true" t="shared" si="9" ref="E32:K32">+E33+E34+E35+E36+E37+E38+E39</f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60000000</v>
      </c>
    </row>
    <row r="33" spans="1:11" s="45" customFormat="1" ht="12" customHeight="1">
      <c r="A33" s="46" t="s">
        <v>182</v>
      </c>
      <c r="B33" s="47" t="s">
        <v>649</v>
      </c>
      <c r="C33" s="48">
        <v>4500000</v>
      </c>
      <c r="D33" s="50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4500000</v>
      </c>
    </row>
    <row r="34" spans="1:11" s="45" customFormat="1" ht="12" customHeight="1">
      <c r="A34" s="53" t="s">
        <v>184</v>
      </c>
      <c r="B34" s="54" t="s">
        <v>185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55">
        <v>48000000</v>
      </c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48000000</v>
      </c>
    </row>
    <row r="36" spans="1:11" s="45" customFormat="1" ht="12" customHeight="1">
      <c r="A36" s="53" t="s">
        <v>188</v>
      </c>
      <c r="B36" s="54" t="s">
        <v>189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55">
        <v>7500000</v>
      </c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7500000</v>
      </c>
    </row>
    <row r="38" spans="1:11" s="45" customFormat="1" ht="12" customHeight="1">
      <c r="A38" s="53" t="s">
        <v>192</v>
      </c>
      <c r="B38" s="54" t="s">
        <v>193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1">
        <f>SUM(C41:C51)</f>
        <v>100476086</v>
      </c>
      <c r="D40" s="42">
        <f>SUM(D41:D51)</f>
        <v>0</v>
      </c>
      <c r="E40" s="43">
        <f aca="true" t="shared" si="12" ref="E40:K40">SUM(E41:E51)</f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100476086</v>
      </c>
    </row>
    <row r="41" spans="1:11" s="45" customFormat="1" ht="12" customHeight="1">
      <c r="A41" s="46" t="s">
        <v>198</v>
      </c>
      <c r="B41" s="47" t="s">
        <v>199</v>
      </c>
      <c r="C41" s="48">
        <v>15812490</v>
      </c>
      <c r="D41" s="49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15812490</v>
      </c>
    </row>
    <row r="42" spans="1:11" s="45" customFormat="1" ht="12" customHeight="1">
      <c r="A42" s="53" t="s">
        <v>200</v>
      </c>
      <c r="B42" s="54" t="s">
        <v>201</v>
      </c>
      <c r="C42" s="55">
        <v>7196000</v>
      </c>
      <c r="D42" s="56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7196000</v>
      </c>
    </row>
    <row r="43" spans="1:11" s="45" customFormat="1" ht="12" customHeight="1">
      <c r="A43" s="53" t="s">
        <v>202</v>
      </c>
      <c r="B43" s="54" t="s">
        <v>203</v>
      </c>
      <c r="C43" s="55">
        <v>8620000</v>
      </c>
      <c r="D43" s="56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8620000</v>
      </c>
    </row>
    <row r="44" spans="1:11" s="45" customFormat="1" ht="12" customHeight="1">
      <c r="A44" s="53" t="s">
        <v>204</v>
      </c>
      <c r="B44" s="54" t="s">
        <v>205</v>
      </c>
      <c r="C44" s="55">
        <v>14791000</v>
      </c>
      <c r="D44" s="56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14791000</v>
      </c>
    </row>
    <row r="45" spans="1:11" s="45" customFormat="1" ht="12" customHeight="1">
      <c r="A45" s="53" t="s">
        <v>206</v>
      </c>
      <c r="B45" s="54" t="s">
        <v>207</v>
      </c>
      <c r="C45" s="55">
        <v>40313475</v>
      </c>
      <c r="D45" s="56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40313475</v>
      </c>
    </row>
    <row r="46" spans="1:11" s="45" customFormat="1" ht="12" customHeight="1">
      <c r="A46" s="53" t="s">
        <v>208</v>
      </c>
      <c r="B46" s="54" t="s">
        <v>209</v>
      </c>
      <c r="C46" s="55">
        <v>12727121</v>
      </c>
      <c r="D46" s="56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12727121</v>
      </c>
    </row>
    <row r="47" spans="1:11" s="45" customFormat="1" ht="12" customHeight="1">
      <c r="A47" s="53" t="s">
        <v>210</v>
      </c>
      <c r="B47" s="54" t="s">
        <v>211</v>
      </c>
      <c r="C47" s="55"/>
      <c r="D47" s="56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55"/>
      <c r="D48" s="56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55"/>
      <c r="D49" s="56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8"/>
      <c r="D50" s="62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72">
        <v>1016000</v>
      </c>
      <c r="D51" s="73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1016000</v>
      </c>
    </row>
    <row r="52" spans="1:11" s="45" customFormat="1" ht="12" customHeight="1">
      <c r="A52" s="77" t="s">
        <v>220</v>
      </c>
      <c r="B52" s="78" t="s">
        <v>221</v>
      </c>
      <c r="C52" s="79">
        <f>SUM(C53:C57)</f>
        <v>0</v>
      </c>
      <c r="D52" s="80">
        <f>SUM(D53:D57)</f>
        <v>0</v>
      </c>
      <c r="E52" s="81">
        <f aca="true" t="shared" si="15" ref="E52:K52">SUM(E53:E57)</f>
        <v>0</v>
      </c>
      <c r="F52" s="81">
        <f t="shared" si="15"/>
        <v>0</v>
      </c>
      <c r="G52" s="81">
        <f t="shared" si="15"/>
        <v>0</v>
      </c>
      <c r="H52" s="81">
        <f t="shared" si="15"/>
        <v>0</v>
      </c>
      <c r="I52" s="81">
        <f t="shared" si="15"/>
        <v>0</v>
      </c>
      <c r="J52" s="81">
        <f t="shared" si="15"/>
        <v>0</v>
      </c>
      <c r="K52" s="82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48"/>
      <c r="D53" s="49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55"/>
      <c r="D54" s="56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55"/>
      <c r="D55" s="56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55"/>
      <c r="D56" s="56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8"/>
      <c r="D57" s="73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1">
        <f>SUM(C59:C61)</f>
        <v>0</v>
      </c>
      <c r="D58" s="42">
        <f>SUM(D59:D61)</f>
        <v>0</v>
      </c>
      <c r="E58" s="43">
        <f aca="true" t="shared" si="16" ref="E58:K58">SUM(E59:E61)</f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48"/>
      <c r="D59" s="49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55"/>
      <c r="D60" s="56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55"/>
      <c r="D61" s="56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8"/>
      <c r="D62" s="62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1">
        <f>SUM(C64:C66)</f>
        <v>13000000</v>
      </c>
      <c r="D63" s="42">
        <f>SUM(D64:D66)</f>
        <v>0</v>
      </c>
      <c r="E63" s="43">
        <f aca="true" t="shared" si="17" ref="E63:K63">SUM(E64:E66)</f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13000000</v>
      </c>
    </row>
    <row r="64" spans="1:11" s="45" customFormat="1" ht="12" customHeight="1">
      <c r="A64" s="46" t="s">
        <v>244</v>
      </c>
      <c r="B64" s="47" t="s">
        <v>245</v>
      </c>
      <c r="C64" s="55"/>
      <c r="D64" s="56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55"/>
      <c r="D65" s="56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55">
        <v>13000000</v>
      </c>
      <c r="D66" s="56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13000000</v>
      </c>
    </row>
    <row r="67" spans="1:11" s="45" customFormat="1" ht="12" customHeight="1">
      <c r="A67" s="58" t="s">
        <v>250</v>
      </c>
      <c r="B67" s="59" t="s">
        <v>251</v>
      </c>
      <c r="C67" s="55"/>
      <c r="D67" s="56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1">
        <f>+C11+C18+C25+C32+C40+C52+C58+C63</f>
        <v>619061781</v>
      </c>
      <c r="D68" s="42">
        <f>+D11+D18+D25+D32+D40+D52+D58+D63</f>
        <v>213427125</v>
      </c>
      <c r="E68" s="43">
        <f aca="true" t="shared" si="18" ref="E68:K68">+E11+E18+E25+E32+E40+E52+E58+E63</f>
        <v>40586060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254013185</v>
      </c>
      <c r="K68" s="44">
        <f t="shared" si="18"/>
        <v>873074966</v>
      </c>
    </row>
    <row r="69" spans="1:11" s="45" customFormat="1" ht="12" customHeight="1">
      <c r="A69" s="86" t="s">
        <v>254</v>
      </c>
      <c r="B69" s="60" t="s">
        <v>255</v>
      </c>
      <c r="C69" s="41">
        <f>SUM(C70:C72)</f>
        <v>0</v>
      </c>
      <c r="D69" s="42">
        <f>SUM(D70:D72)</f>
        <v>0</v>
      </c>
      <c r="E69" s="43">
        <f aca="true" t="shared" si="19" ref="E69:K69">SUM(E70:E72)</f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55"/>
      <c r="D70" s="56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55"/>
      <c r="D71" s="56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58" t="s">
        <v>260</v>
      </c>
      <c r="B72" s="87" t="s">
        <v>261</v>
      </c>
      <c r="C72" s="68"/>
      <c r="D72" s="73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1">
        <f>SUM(C74:C77)</f>
        <v>0</v>
      </c>
      <c r="D73" s="42">
        <f>SUM(D74:D77)</f>
        <v>0</v>
      </c>
      <c r="E73" s="43">
        <f aca="true" t="shared" si="20" ref="E73:K73">SUM(E74:E77)</f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48"/>
      <c r="D74" s="56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9" t="s">
        <v>267</v>
      </c>
      <c r="C75" s="55"/>
      <c r="D75" s="56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9" t="s">
        <v>269</v>
      </c>
      <c r="C76" s="55"/>
      <c r="D76" s="56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70" t="s">
        <v>270</v>
      </c>
      <c r="B77" s="90" t="s">
        <v>271</v>
      </c>
      <c r="C77" s="72"/>
      <c r="D77" s="56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91" t="s">
        <v>272</v>
      </c>
      <c r="B78" s="92" t="s">
        <v>273</v>
      </c>
      <c r="C78" s="79">
        <f>SUM(C79:C80)</f>
        <v>253118762</v>
      </c>
      <c r="D78" s="42">
        <f>SUM(D79:D80)</f>
        <v>176215639</v>
      </c>
      <c r="E78" s="43">
        <f aca="true" t="shared" si="21" ref="E78:K78">SUM(E79:E80)</f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176215639</v>
      </c>
      <c r="K78" s="44">
        <f t="shared" si="21"/>
        <v>429334401</v>
      </c>
    </row>
    <row r="79" spans="1:11" s="45" customFormat="1" ht="12" customHeight="1">
      <c r="A79" s="46" t="s">
        <v>274</v>
      </c>
      <c r="B79" s="47" t="s">
        <v>275</v>
      </c>
      <c r="C79" s="93">
        <v>253118762</v>
      </c>
      <c r="D79" s="94">
        <v>176215639</v>
      </c>
      <c r="E79" s="67"/>
      <c r="F79" s="67"/>
      <c r="G79" s="67"/>
      <c r="H79" s="67"/>
      <c r="I79" s="67"/>
      <c r="J79" s="83">
        <f>D79+E79+F79+G79+H79+I79</f>
        <v>176215639</v>
      </c>
      <c r="K79" s="84">
        <f>C79+J79</f>
        <v>429334401</v>
      </c>
    </row>
    <row r="80" spans="1:11" s="45" customFormat="1" ht="12" customHeight="1">
      <c r="A80" s="58" t="s">
        <v>276</v>
      </c>
      <c r="B80" s="59" t="s">
        <v>277</v>
      </c>
      <c r="C80" s="95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1">
        <f>SUM(C82:C84)</f>
        <v>0</v>
      </c>
      <c r="D81" s="43">
        <f>SUM(D82:D84)</f>
        <v>0</v>
      </c>
      <c r="E81" s="43">
        <f aca="true" t="shared" si="22" ref="E81:K81">SUM(E82:E84)</f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1">
        <f>SUM(C86:C89)</f>
        <v>0</v>
      </c>
      <c r="D85" s="43">
        <f>SUM(D86:D89)</f>
        <v>0</v>
      </c>
      <c r="E85" s="43">
        <f aca="true" t="shared" si="23" ref="E85:K85">SUM(E86:E89)</f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300</v>
      </c>
      <c r="B92" s="60" t="s">
        <v>301</v>
      </c>
      <c r="C92" s="41">
        <f>+C69+C73+C78+C81+C85+C91+C90</f>
        <v>253118762</v>
      </c>
      <c r="D92" s="43">
        <f>+D69+D73+D78+D81+D85+D91+D90</f>
        <v>176215639</v>
      </c>
      <c r="E92" s="43">
        <f aca="true" t="shared" si="26" ref="E92:K92">+E69+E73+E78+E81+E85+E91+E90</f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176215639</v>
      </c>
      <c r="K92" s="44">
        <f t="shared" si="26"/>
        <v>429334401</v>
      </c>
    </row>
    <row r="93" spans="1:11" s="45" customFormat="1" ht="25.5" customHeight="1">
      <c r="A93" s="91" t="s">
        <v>302</v>
      </c>
      <c r="B93" s="92" t="s">
        <v>303</v>
      </c>
      <c r="C93" s="41">
        <f>+C68+C92</f>
        <v>872180543</v>
      </c>
      <c r="D93" s="43">
        <f>+D68+D92</f>
        <v>389642764</v>
      </c>
      <c r="E93" s="43">
        <f aca="true" t="shared" si="27" ref="E93:K93">+E68+E92</f>
        <v>40586060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430228824</v>
      </c>
      <c r="K93" s="44">
        <f t="shared" si="27"/>
        <v>1302409367</v>
      </c>
    </row>
    <row r="94" spans="1:3" s="45" customFormat="1" ht="30.75" customHeight="1">
      <c r="A94" s="101"/>
      <c r="B94" s="102"/>
      <c r="C94" s="103"/>
    </row>
    <row r="95" spans="1:11" ht="16.5" customHeight="1">
      <c r="A95" s="479" t="s">
        <v>304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</row>
    <row r="96" spans="1:11" s="105" customFormat="1" ht="16.5" customHeight="1">
      <c r="A96" s="480" t="s">
        <v>305</v>
      </c>
      <c r="B96" s="480"/>
      <c r="C96" s="104"/>
      <c r="K96" s="104" t="str">
        <f>K7</f>
        <v>Forintban!</v>
      </c>
    </row>
    <row r="97" spans="1:11" ht="12.75" customHeight="1">
      <c r="A97" s="475" t="s">
        <v>117</v>
      </c>
      <c r="B97" s="476" t="s">
        <v>306</v>
      </c>
      <c r="C97" s="477" t="str">
        <f>+CONCATENATE(LEFT(RM_ÖSSZEFÜGGÉSEK!A6,4),". évi")</f>
        <v>2019. évi</v>
      </c>
      <c r="D97" s="477"/>
      <c r="E97" s="477"/>
      <c r="F97" s="477"/>
      <c r="G97" s="477"/>
      <c r="H97" s="477"/>
      <c r="I97" s="477"/>
      <c r="J97" s="477"/>
      <c r="K97" s="477"/>
    </row>
    <row r="98" spans="1:11" ht="48">
      <c r="A98" s="475"/>
      <c r="B98" s="476"/>
      <c r="C98" s="106" t="s">
        <v>119</v>
      </c>
      <c r="D98" s="107" t="str">
        <f aca="true" t="shared" si="28" ref="D98:I98">D9</f>
        <v>1. sz. módosítás </v>
      </c>
      <c r="E98" s="107" t="str">
        <f t="shared" si="28"/>
        <v>2. sz. módosítás </v>
      </c>
      <c r="F98" s="107" t="str">
        <f t="shared" si="28"/>
        <v>3. sz. módosítás </v>
      </c>
      <c r="G98" s="107" t="str">
        <f t="shared" si="28"/>
        <v>4. sz. módosítás </v>
      </c>
      <c r="H98" s="107" t="str">
        <f t="shared" si="28"/>
        <v>.5. sz. módosítás </v>
      </c>
      <c r="I98" s="107" t="str">
        <f t="shared" si="28"/>
        <v>6. sz. módosítás </v>
      </c>
      <c r="J98" s="108" t="s">
        <v>126</v>
      </c>
      <c r="K98" s="109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4">
        <f>C101+C102+C103+C104+C105+C118</f>
        <v>666212818</v>
      </c>
      <c r="D100" s="115">
        <f aca="true" t="shared" si="29" ref="D100:K100">D101+D102+D103+D104+D105+D118</f>
        <v>370224322</v>
      </c>
      <c r="E100" s="115">
        <f t="shared" si="29"/>
        <v>14369816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384594138</v>
      </c>
      <c r="K100" s="116">
        <f t="shared" si="29"/>
        <v>1050806956</v>
      </c>
    </row>
    <row r="101" spans="1:11" ht="12" customHeight="1">
      <c r="A101" s="117" t="s">
        <v>140</v>
      </c>
      <c r="B101" s="118" t="s">
        <v>308</v>
      </c>
      <c r="C101" s="93">
        <v>316868319</v>
      </c>
      <c r="D101" s="119">
        <v>129714120</v>
      </c>
      <c r="E101" s="119">
        <v>12368169</v>
      </c>
      <c r="F101" s="119"/>
      <c r="G101" s="119"/>
      <c r="H101" s="119"/>
      <c r="I101" s="119"/>
      <c r="J101" s="120">
        <f aca="true" t="shared" si="30" ref="J101:J120">D101+E101+F101+G101+H101+I101</f>
        <v>142082289</v>
      </c>
      <c r="K101" s="121">
        <f aca="true" t="shared" si="31" ref="K101:K120">C101+J101</f>
        <v>458950608</v>
      </c>
    </row>
    <row r="102" spans="1:11" ht="12" customHeight="1">
      <c r="A102" s="53" t="s">
        <v>142</v>
      </c>
      <c r="B102" s="122" t="s">
        <v>309</v>
      </c>
      <c r="C102" s="55">
        <v>58142518</v>
      </c>
      <c r="D102" s="67">
        <v>12851235</v>
      </c>
      <c r="E102" s="67">
        <v>2327944</v>
      </c>
      <c r="F102" s="67"/>
      <c r="G102" s="67"/>
      <c r="H102" s="67"/>
      <c r="I102" s="67"/>
      <c r="J102" s="83">
        <f t="shared" si="30"/>
        <v>15179179</v>
      </c>
      <c r="K102" s="84">
        <f t="shared" si="31"/>
        <v>73321697</v>
      </c>
    </row>
    <row r="103" spans="1:11" ht="12" customHeight="1">
      <c r="A103" s="53" t="s">
        <v>144</v>
      </c>
      <c r="B103" s="122" t="s">
        <v>310</v>
      </c>
      <c r="C103" s="68">
        <v>233405483</v>
      </c>
      <c r="D103" s="69">
        <v>38015105</v>
      </c>
      <c r="E103" s="69">
        <v>79209</v>
      </c>
      <c r="F103" s="69"/>
      <c r="G103" s="69"/>
      <c r="H103" s="69"/>
      <c r="I103" s="69"/>
      <c r="J103" s="123">
        <f t="shared" si="30"/>
        <v>38094314</v>
      </c>
      <c r="K103" s="124">
        <f t="shared" si="31"/>
        <v>271499797</v>
      </c>
    </row>
    <row r="104" spans="1:11" ht="12" customHeight="1">
      <c r="A104" s="53" t="s">
        <v>146</v>
      </c>
      <c r="B104" s="125" t="s">
        <v>311</v>
      </c>
      <c r="C104" s="68">
        <v>26630000</v>
      </c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26630000</v>
      </c>
    </row>
    <row r="105" spans="1:11" ht="12" customHeight="1">
      <c r="A105" s="53" t="s">
        <v>312</v>
      </c>
      <c r="B105" s="126" t="s">
        <v>313</v>
      </c>
      <c r="C105" s="68">
        <v>11166498</v>
      </c>
      <c r="D105" s="69">
        <v>5252601</v>
      </c>
      <c r="E105" s="69">
        <v>4021029</v>
      </c>
      <c r="F105" s="69"/>
      <c r="G105" s="69"/>
      <c r="H105" s="69"/>
      <c r="I105" s="69"/>
      <c r="J105" s="123">
        <f t="shared" si="30"/>
        <v>9273630</v>
      </c>
      <c r="K105" s="124">
        <f t="shared" si="31"/>
        <v>20440128</v>
      </c>
    </row>
    <row r="106" spans="1:11" ht="12" customHeight="1">
      <c r="A106" s="53" t="s">
        <v>150</v>
      </c>
      <c r="B106" s="122" t="s">
        <v>314</v>
      </c>
      <c r="C106" s="68">
        <v>5000000</v>
      </c>
      <c r="D106" s="69">
        <v>5252601</v>
      </c>
      <c r="E106" s="69"/>
      <c r="F106" s="69"/>
      <c r="G106" s="69"/>
      <c r="H106" s="69"/>
      <c r="I106" s="69"/>
      <c r="J106" s="123">
        <f t="shared" si="30"/>
        <v>5252601</v>
      </c>
      <c r="K106" s="124">
        <f t="shared" si="31"/>
        <v>10252601</v>
      </c>
    </row>
    <row r="107" spans="1:11" ht="12" customHeight="1">
      <c r="A107" s="53" t="s">
        <v>315</v>
      </c>
      <c r="B107" s="127" t="s">
        <v>316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25.5" customHeight="1">
      <c r="A111" s="53" t="s">
        <v>323</v>
      </c>
      <c r="B111" s="129" t="s">
        <v>324</v>
      </c>
      <c r="C111" s="68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325</v>
      </c>
      <c r="B112" s="128" t="s">
        <v>326</v>
      </c>
      <c r="C112" s="68">
        <v>3170838</v>
      </c>
      <c r="D112" s="69"/>
      <c r="E112" s="69">
        <v>3000000</v>
      </c>
      <c r="F112" s="69"/>
      <c r="G112" s="69"/>
      <c r="H112" s="69"/>
      <c r="I112" s="69"/>
      <c r="J112" s="123">
        <f t="shared" si="30"/>
        <v>3000000</v>
      </c>
      <c r="K112" s="124">
        <f t="shared" si="31"/>
        <v>6170838</v>
      </c>
    </row>
    <row r="113" spans="1:11" ht="12" customHeight="1">
      <c r="A113" s="53" t="s">
        <v>327</v>
      </c>
      <c r="B113" s="128" t="s">
        <v>328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8">
        <v>2995660</v>
      </c>
      <c r="D117" s="69"/>
      <c r="E117" s="69">
        <v>1021029</v>
      </c>
      <c r="F117" s="69"/>
      <c r="G117" s="69"/>
      <c r="H117" s="69"/>
      <c r="I117" s="69"/>
      <c r="J117" s="123">
        <f t="shared" si="30"/>
        <v>1021029</v>
      </c>
      <c r="K117" s="124">
        <f t="shared" si="31"/>
        <v>4016689</v>
      </c>
    </row>
    <row r="118" spans="1:11" ht="12" customHeight="1">
      <c r="A118" s="53" t="s">
        <v>337</v>
      </c>
      <c r="B118" s="125" t="s">
        <v>338</v>
      </c>
      <c r="C118" s="55">
        <f>SUM(C119:C120)</f>
        <v>20000000</v>
      </c>
      <c r="D118" s="67">
        <f>SUM(D119:D120)</f>
        <v>184391261</v>
      </c>
      <c r="E118" s="67">
        <f>SUM(E119:E120)</f>
        <v>-4426535</v>
      </c>
      <c r="F118" s="67"/>
      <c r="G118" s="67"/>
      <c r="H118" s="67"/>
      <c r="I118" s="67"/>
      <c r="J118" s="83">
        <f t="shared" si="30"/>
        <v>179964726</v>
      </c>
      <c r="K118" s="84">
        <f t="shared" si="31"/>
        <v>199964726</v>
      </c>
    </row>
    <row r="119" spans="1:11" ht="12" customHeight="1">
      <c r="A119" s="53" t="s">
        <v>339</v>
      </c>
      <c r="B119" s="122" t="s">
        <v>340</v>
      </c>
      <c r="C119" s="55">
        <v>17647000</v>
      </c>
      <c r="D119" s="67">
        <v>168881420</v>
      </c>
      <c r="E119" s="67">
        <v>-4426535</v>
      </c>
      <c r="F119" s="67"/>
      <c r="G119" s="67"/>
      <c r="H119" s="67"/>
      <c r="I119" s="67"/>
      <c r="J119" s="83">
        <f t="shared" si="30"/>
        <v>164454885</v>
      </c>
      <c r="K119" s="84">
        <f t="shared" si="31"/>
        <v>182101885</v>
      </c>
    </row>
    <row r="120" spans="1:11" ht="12" customHeight="1">
      <c r="A120" s="70" t="s">
        <v>341</v>
      </c>
      <c r="B120" s="131" t="s">
        <v>342</v>
      </c>
      <c r="C120" s="72">
        <v>2353000</v>
      </c>
      <c r="D120" s="74">
        <v>15509841</v>
      </c>
      <c r="E120" s="74"/>
      <c r="F120" s="74"/>
      <c r="G120" s="74"/>
      <c r="H120" s="74"/>
      <c r="I120" s="74"/>
      <c r="J120" s="75">
        <f t="shared" si="30"/>
        <v>15509841</v>
      </c>
      <c r="K120" s="76">
        <f t="shared" si="31"/>
        <v>17862841</v>
      </c>
    </row>
    <row r="121" spans="1:11" ht="12" customHeight="1">
      <c r="A121" s="77" t="s">
        <v>152</v>
      </c>
      <c r="B121" s="132" t="s">
        <v>343</v>
      </c>
      <c r="C121" s="79">
        <f>+C122+C124+C126</f>
        <v>190577694</v>
      </c>
      <c r="D121" s="43">
        <f aca="true" t="shared" si="32" ref="D121:K121">+D122+D124+D126</f>
        <v>19418442</v>
      </c>
      <c r="E121" s="81">
        <f t="shared" si="32"/>
        <v>26216244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45634686</v>
      </c>
      <c r="K121" s="82">
        <f t="shared" si="32"/>
        <v>236212380</v>
      </c>
    </row>
    <row r="122" spans="1:11" ht="12" customHeight="1">
      <c r="A122" s="46" t="s">
        <v>154</v>
      </c>
      <c r="B122" s="122" t="s">
        <v>344</v>
      </c>
      <c r="C122" s="48">
        <v>28013862</v>
      </c>
      <c r="D122" s="49">
        <v>19418442</v>
      </c>
      <c r="E122" s="49">
        <v>19537</v>
      </c>
      <c r="F122" s="49"/>
      <c r="G122" s="49"/>
      <c r="H122" s="49"/>
      <c r="I122" s="50"/>
      <c r="J122" s="51">
        <f aca="true" t="shared" si="33" ref="J122:J134">D122+E122+F122+G122+H122+I122</f>
        <v>19437979</v>
      </c>
      <c r="K122" s="52">
        <f aca="true" t="shared" si="34" ref="K122:K134">C122+J122</f>
        <v>47451841</v>
      </c>
    </row>
    <row r="123" spans="1:11" ht="12" customHeight="1">
      <c r="A123" s="46" t="s">
        <v>156</v>
      </c>
      <c r="B123" s="133" t="s">
        <v>345</v>
      </c>
      <c r="C123" s="134">
        <v>0</v>
      </c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55">
        <v>155763832</v>
      </c>
      <c r="D124" s="56"/>
      <c r="E124" s="56">
        <v>25846707</v>
      </c>
      <c r="F124" s="56"/>
      <c r="G124" s="56"/>
      <c r="H124" s="56"/>
      <c r="I124" s="67"/>
      <c r="J124" s="83">
        <f t="shared" si="33"/>
        <v>25846707</v>
      </c>
      <c r="K124" s="84">
        <f t="shared" si="34"/>
        <v>181610539</v>
      </c>
    </row>
    <row r="125" spans="1:11" ht="12" customHeight="1">
      <c r="A125" s="46" t="s">
        <v>160</v>
      </c>
      <c r="B125" s="133" t="s">
        <v>347</v>
      </c>
      <c r="C125" s="135">
        <v>120091212</v>
      </c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120091212</v>
      </c>
    </row>
    <row r="126" spans="1:11" ht="12" customHeight="1">
      <c r="A126" s="46" t="s">
        <v>162</v>
      </c>
      <c r="B126" s="59" t="s">
        <v>348</v>
      </c>
      <c r="C126" s="136">
        <v>6800000</v>
      </c>
      <c r="D126" s="56"/>
      <c r="E126" s="56">
        <v>350000</v>
      </c>
      <c r="F126" s="56"/>
      <c r="G126" s="56"/>
      <c r="H126" s="56"/>
      <c r="I126" s="67"/>
      <c r="J126" s="83">
        <f t="shared" si="33"/>
        <v>350000</v>
      </c>
      <c r="K126" s="84">
        <f t="shared" si="34"/>
        <v>7150000</v>
      </c>
    </row>
    <row r="127" spans="1:11" ht="12" customHeight="1">
      <c r="A127" s="46" t="s">
        <v>164</v>
      </c>
      <c r="B127" s="57" t="s">
        <v>349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136"/>
      <c r="D132" s="56"/>
      <c r="E132" s="56">
        <v>350000</v>
      </c>
      <c r="F132" s="56"/>
      <c r="G132" s="56"/>
      <c r="H132" s="56"/>
      <c r="I132" s="67"/>
      <c r="J132" s="83">
        <f t="shared" si="33"/>
        <v>350000</v>
      </c>
      <c r="K132" s="84">
        <f t="shared" si="34"/>
        <v>350000</v>
      </c>
    </row>
    <row r="133" spans="1:11" ht="12" customHeight="1">
      <c r="A133" s="46" t="s">
        <v>358</v>
      </c>
      <c r="B133" s="129" t="s">
        <v>359</v>
      </c>
      <c r="C133" s="136">
        <v>3000000</v>
      </c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3000000</v>
      </c>
    </row>
    <row r="134" spans="1:11" ht="22.5">
      <c r="A134" s="130" t="s">
        <v>360</v>
      </c>
      <c r="B134" s="129" t="s">
        <v>361</v>
      </c>
      <c r="C134" s="138">
        <v>3800000</v>
      </c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3800000</v>
      </c>
    </row>
    <row r="135" spans="1:11" ht="12" customHeight="1">
      <c r="A135" s="39" t="s">
        <v>166</v>
      </c>
      <c r="B135" s="40" t="s">
        <v>362</v>
      </c>
      <c r="C135" s="41">
        <f>+C100+C121</f>
        <v>856790512</v>
      </c>
      <c r="D135" s="42">
        <f aca="true" t="shared" si="35" ref="D135:K135">+D100+D121</f>
        <v>389642764</v>
      </c>
      <c r="E135" s="42">
        <f t="shared" si="35"/>
        <v>40586060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430228824</v>
      </c>
      <c r="K135" s="44">
        <f t="shared" si="35"/>
        <v>1287019336</v>
      </c>
    </row>
    <row r="136" spans="1:11" ht="12" customHeight="1">
      <c r="A136" s="39" t="s">
        <v>363</v>
      </c>
      <c r="B136" s="40" t="s">
        <v>364</v>
      </c>
      <c r="C136" s="41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1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138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140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1">
        <f>+C148+C149+C150+C151</f>
        <v>15390031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15390031</v>
      </c>
    </row>
    <row r="148" spans="1:11" ht="12" customHeight="1">
      <c r="A148" s="46" t="s">
        <v>222</v>
      </c>
      <c r="B148" s="139" t="s">
        <v>376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136">
        <v>15390031</v>
      </c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15390031</v>
      </c>
    </row>
    <row r="150" spans="1:11" ht="12" customHeight="1">
      <c r="A150" s="46" t="s">
        <v>226</v>
      </c>
      <c r="B150" s="139" t="s">
        <v>378</v>
      </c>
      <c r="C150" s="138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140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2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42">
        <f>+C136+C140+C147+C152+C158+C159</f>
        <v>15390031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15390031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42">
        <f>+C135+C160</f>
        <v>872180543</v>
      </c>
      <c r="D161" s="153">
        <f aca="true" t="shared" si="45" ref="D161:K161">+D135+D160</f>
        <v>389642764</v>
      </c>
      <c r="E161" s="153">
        <f t="shared" si="45"/>
        <v>40586060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430228824</v>
      </c>
      <c r="K161" s="155">
        <f t="shared" si="45"/>
        <v>1302409367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62">
        <f>K93-K161</f>
        <v>0</v>
      </c>
    </row>
    <row r="163" spans="1:11" ht="15.75">
      <c r="A163" s="481" t="s">
        <v>395</v>
      </c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</row>
    <row r="164" spans="1:11" ht="15" customHeight="1">
      <c r="A164" s="478" t="s">
        <v>396</v>
      </c>
      <c r="B164" s="4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-237728731</v>
      </c>
      <c r="D165" s="43">
        <f aca="true" t="shared" si="46" ref="D165:K165">+D68-D135</f>
        <v>-176215639</v>
      </c>
      <c r="E165" s="43">
        <f t="shared" si="46"/>
        <v>0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-176215639</v>
      </c>
      <c r="K165" s="44">
        <f t="shared" si="46"/>
        <v>-413944370</v>
      </c>
    </row>
    <row r="166" spans="1:11" ht="32.25" customHeight="1">
      <c r="A166" s="39" t="s">
        <v>152</v>
      </c>
      <c r="B166" s="164" t="s">
        <v>398</v>
      </c>
      <c r="C166" s="43">
        <f>+C92-C160</f>
        <v>237728731</v>
      </c>
      <c r="D166" s="43">
        <f aca="true" t="shared" si="47" ref="D166:K166">+D92-D160</f>
        <v>176215639</v>
      </c>
      <c r="E166" s="43">
        <f t="shared" si="47"/>
        <v>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176215639</v>
      </c>
      <c r="K166" s="44">
        <f t="shared" si="47"/>
        <v>413944370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2361111111111111" right="0.2361111111111111" top="0.5513888888888889" bottom="0.5513888888888889" header="0.5118055555555555" footer="0.5118055555555555"/>
  <pageSetup horizontalDpi="300" verticalDpi="300" orientation="landscape" paperSize="9" scale="75" r:id="rId1"/>
  <rowBreaks count="3" manualBreakCount="3">
    <brk id="51" max="255" man="1"/>
    <brk id="93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109">
      <selection activeCell="G169" sqref="G169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71" t="str">
        <f>CONCATENATE("1.2. melléklet ",RM_ALAPADATOK!A7," ",RM_ALAPADATOK!B7," ",RM_ALAPADATOK!C7," ",RM_ALAPADATOK!D7," ",RM_ALAPADATOK!E7," ",RM_ALAPADATOK!F7," ",RM_ALAPADATOK!G7," ",RM_ALAPADATOK!H7)</f>
        <v>1.2. melléklet a  / 2019 (  ) önkormányzati rendelethez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72">
        <f>CONCATENATE(RM_ALAPADATOK!A4)</f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5.75">
      <c r="A4" s="472" t="s">
        <v>399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73" t="s">
        <v>114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</row>
    <row r="7" spans="1:11" ht="15.75" customHeight="1">
      <c r="A7" s="474" t="s">
        <v>115</v>
      </c>
      <c r="B7" s="4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75" t="s">
        <v>117</v>
      </c>
      <c r="B8" s="476" t="s">
        <v>118</v>
      </c>
      <c r="C8" s="477" t="str">
        <f>+CONCATENATE(LEFT(RM_ÖSSZEFÜGGÉSEK!A6,4),". évi")</f>
        <v>2019. évi</v>
      </c>
      <c r="D8" s="477"/>
      <c r="E8" s="477"/>
      <c r="F8" s="477"/>
      <c r="G8" s="477"/>
      <c r="H8" s="477"/>
      <c r="I8" s="477"/>
      <c r="J8" s="477"/>
      <c r="K8" s="477"/>
    </row>
    <row r="9" spans="1:11" ht="39" customHeight="1">
      <c r="A9" s="475"/>
      <c r="B9" s="476"/>
      <c r="C9" s="29" t="s">
        <v>119</v>
      </c>
      <c r="D9" s="30" t="str">
        <f>CONCATENATE('RM_1.1.sz.mell.'!D9)</f>
        <v>1. sz. módosítás </v>
      </c>
      <c r="E9" s="30" t="str">
        <f>CONCATENATE('RM_1.1.sz.mell.'!E9)</f>
        <v>2. sz. módosítás </v>
      </c>
      <c r="F9" s="30" t="str">
        <f>CONCATENATE('RM_1.1.sz.mell.'!F9)</f>
        <v>3. sz. módosítás </v>
      </c>
      <c r="G9" s="30" t="str">
        <f>CONCATENATE('RM_1.1.sz.mell.'!G9)</f>
        <v>4. sz. módosítás </v>
      </c>
      <c r="H9" s="30" t="str">
        <f>CONCATENATE('RM_1.1.sz.mell.'!H9)</f>
        <v>.5. sz. módosítás </v>
      </c>
      <c r="I9" s="30" t="str">
        <f>CONCATENATE('RM_1.1.sz.mell.'!I9)</f>
        <v>6. sz. módosítás </v>
      </c>
      <c r="J9" s="31" t="s">
        <v>126</v>
      </c>
      <c r="K9" s="32" t="str">
        <f>CONCATENATE('RM_1.1.sz.mell.'!K9)</f>
        <v>2.számú módosítás utáni előirányzat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1">
        <f>+C12+C13+C14+C15+C16+C17</f>
        <v>413947518</v>
      </c>
      <c r="D11" s="42">
        <f>+D12+D13+D14+D15+D16+D17</f>
        <v>1583166</v>
      </c>
      <c r="E11" s="43">
        <f aca="true" t="shared" si="0" ref="E11:K11">+E12+E13+E14+E15+E16+E17</f>
        <v>32284099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33867265</v>
      </c>
      <c r="K11" s="44">
        <f t="shared" si="0"/>
        <v>447814783</v>
      </c>
    </row>
    <row r="12" spans="1:11" s="45" customFormat="1" ht="12" customHeight="1">
      <c r="A12" s="46" t="s">
        <v>140</v>
      </c>
      <c r="B12" s="47" t="s">
        <v>141</v>
      </c>
      <c r="C12" s="48">
        <v>180621648</v>
      </c>
      <c r="D12" s="49">
        <v>175069</v>
      </c>
      <c r="E12" s="49">
        <v>1086626</v>
      </c>
      <c r="F12" s="50"/>
      <c r="G12" s="50"/>
      <c r="H12" s="50"/>
      <c r="I12" s="50"/>
      <c r="J12" s="51">
        <f aca="true" t="shared" si="1" ref="J12:J17">D12+E12+F12+G12+H12+I12</f>
        <v>1261695</v>
      </c>
      <c r="K12" s="52">
        <f aca="true" t="shared" si="2" ref="K12:K17">C12+J12</f>
        <v>181883343</v>
      </c>
    </row>
    <row r="13" spans="1:11" s="45" customFormat="1" ht="12" customHeight="1">
      <c r="A13" s="53" t="s">
        <v>142</v>
      </c>
      <c r="B13" s="54" t="s">
        <v>143</v>
      </c>
      <c r="C13" s="55">
        <v>91830668</v>
      </c>
      <c r="D13" s="56"/>
      <c r="E13" s="56">
        <v>-170908</v>
      </c>
      <c r="F13" s="50"/>
      <c r="G13" s="50"/>
      <c r="H13" s="50"/>
      <c r="I13" s="50"/>
      <c r="J13" s="51">
        <f t="shared" si="1"/>
        <v>-170908</v>
      </c>
      <c r="K13" s="52">
        <f t="shared" si="2"/>
        <v>91659760</v>
      </c>
    </row>
    <row r="14" spans="1:11" s="45" customFormat="1" ht="12" customHeight="1">
      <c r="A14" s="53" t="s">
        <v>144</v>
      </c>
      <c r="B14" s="54" t="s">
        <v>145</v>
      </c>
      <c r="C14" s="55">
        <v>135618232</v>
      </c>
      <c r="D14" s="56">
        <v>887307</v>
      </c>
      <c r="E14" s="56">
        <v>1050030</v>
      </c>
      <c r="F14" s="50"/>
      <c r="G14" s="50"/>
      <c r="H14" s="50"/>
      <c r="I14" s="50"/>
      <c r="J14" s="51">
        <f t="shared" si="1"/>
        <v>1937337</v>
      </c>
      <c r="K14" s="52">
        <f t="shared" si="2"/>
        <v>137555569</v>
      </c>
    </row>
    <row r="15" spans="1:11" s="45" customFormat="1" ht="12" customHeight="1">
      <c r="A15" s="53" t="s">
        <v>146</v>
      </c>
      <c r="B15" s="54" t="s">
        <v>147</v>
      </c>
      <c r="C15" s="55">
        <v>5876970</v>
      </c>
      <c r="D15" s="56">
        <v>150571</v>
      </c>
      <c r="E15" s="56">
        <v>150570</v>
      </c>
      <c r="F15" s="50"/>
      <c r="G15" s="50"/>
      <c r="H15" s="50"/>
      <c r="I15" s="50"/>
      <c r="J15" s="51">
        <f t="shared" si="1"/>
        <v>301141</v>
      </c>
      <c r="K15" s="52">
        <f t="shared" si="2"/>
        <v>6178111</v>
      </c>
    </row>
    <row r="16" spans="1:11" s="45" customFormat="1" ht="12" customHeight="1">
      <c r="A16" s="53" t="s">
        <v>148</v>
      </c>
      <c r="B16" s="57" t="s">
        <v>149</v>
      </c>
      <c r="C16" s="55"/>
      <c r="D16" s="56">
        <v>370219</v>
      </c>
      <c r="E16" s="56">
        <v>30167781</v>
      </c>
      <c r="F16" s="50"/>
      <c r="G16" s="50"/>
      <c r="H16" s="50"/>
      <c r="I16" s="50"/>
      <c r="J16" s="51">
        <f t="shared" si="1"/>
        <v>30538000</v>
      </c>
      <c r="K16" s="52">
        <f t="shared" si="2"/>
        <v>30538000</v>
      </c>
    </row>
    <row r="17" spans="1:11" s="45" customFormat="1" ht="12" customHeight="1">
      <c r="A17" s="58" t="s">
        <v>150</v>
      </c>
      <c r="B17" s="59" t="s">
        <v>151</v>
      </c>
      <c r="C17" s="55"/>
      <c r="D17" s="56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1">
        <f>+C19+C20+C21+C22+C23</f>
        <v>19042591</v>
      </c>
      <c r="D18" s="42">
        <f>+D19+D20+D21+D22+D23</f>
        <v>155098410</v>
      </c>
      <c r="E18" s="43">
        <f>+E19+E20+E21+E22+E23</f>
        <v>8301961</v>
      </c>
      <c r="F18" s="43">
        <f aca="true" t="shared" si="3" ref="F18:K18">+F19+F20+F21+F22+F23</f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163400371</v>
      </c>
      <c r="K18" s="44">
        <f t="shared" si="3"/>
        <v>182442962</v>
      </c>
    </row>
    <row r="19" spans="1:11" s="45" customFormat="1" ht="12" customHeight="1">
      <c r="A19" s="46" t="s">
        <v>154</v>
      </c>
      <c r="B19" s="47" t="s">
        <v>155</v>
      </c>
      <c r="C19" s="48"/>
      <c r="D19" s="49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55"/>
      <c r="D20" s="56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55"/>
      <c r="D21" s="56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55"/>
      <c r="D22" s="56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55">
        <v>19042591</v>
      </c>
      <c r="D23" s="56">
        <v>155098410</v>
      </c>
      <c r="E23" s="50">
        <v>8301961</v>
      </c>
      <c r="F23" s="50"/>
      <c r="G23" s="50"/>
      <c r="H23" s="50"/>
      <c r="I23" s="50"/>
      <c r="J23" s="51">
        <f t="shared" si="4"/>
        <v>163400371</v>
      </c>
      <c r="K23" s="52">
        <f t="shared" si="5"/>
        <v>182442962</v>
      </c>
    </row>
    <row r="24" spans="1:11" s="45" customFormat="1" ht="12" customHeight="1">
      <c r="A24" s="58" t="s">
        <v>164</v>
      </c>
      <c r="B24" s="59" t="s">
        <v>165</v>
      </c>
      <c r="C24" s="68"/>
      <c r="D24" s="62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166</v>
      </c>
      <c r="B25" s="40" t="s">
        <v>167</v>
      </c>
      <c r="C25" s="41">
        <f>+C26+C27+C28+C29+C30</f>
        <v>8856290</v>
      </c>
      <c r="D25" s="42">
        <f>+D26+D27+D28+D29+D30</f>
        <v>33561018</v>
      </c>
      <c r="E25" s="43">
        <f aca="true" t="shared" si="6" ref="E25:K25">+E26+E27+E28+E29+E30</f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33561018</v>
      </c>
      <c r="K25" s="44">
        <f t="shared" si="6"/>
        <v>42417308</v>
      </c>
    </row>
    <row r="26" spans="1:11" s="45" customFormat="1" ht="12" customHeight="1">
      <c r="A26" s="46" t="s">
        <v>168</v>
      </c>
      <c r="B26" s="47" t="s">
        <v>169</v>
      </c>
      <c r="C26" s="48">
        <v>8856290</v>
      </c>
      <c r="D26" s="49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8856290</v>
      </c>
    </row>
    <row r="27" spans="1:11" s="45" customFormat="1" ht="12" customHeight="1">
      <c r="A27" s="53" t="s">
        <v>170</v>
      </c>
      <c r="B27" s="54" t="s">
        <v>171</v>
      </c>
      <c r="C27" s="55"/>
      <c r="D27" s="56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55"/>
      <c r="D28" s="56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55"/>
      <c r="D29" s="56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55"/>
      <c r="D30" s="56">
        <v>33561018</v>
      </c>
      <c r="E30" s="50"/>
      <c r="F30" s="50"/>
      <c r="G30" s="50"/>
      <c r="H30" s="50"/>
      <c r="I30" s="50"/>
      <c r="J30" s="51">
        <f t="shared" si="7"/>
        <v>33561018</v>
      </c>
      <c r="K30" s="52">
        <f t="shared" si="8"/>
        <v>33561018</v>
      </c>
    </row>
    <row r="31" spans="1:11" s="45" customFormat="1" ht="12" customHeight="1">
      <c r="A31" s="58" t="s">
        <v>178</v>
      </c>
      <c r="B31" s="64" t="s">
        <v>179</v>
      </c>
      <c r="C31" s="65"/>
      <c r="D31" s="62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1">
        <f>SUM(C33:C39)</f>
        <v>60000000</v>
      </c>
      <c r="D32" s="43">
        <f>+D33+D34+D35+D36+D37+D38+D39</f>
        <v>0</v>
      </c>
      <c r="E32" s="43">
        <f aca="true" t="shared" si="9" ref="E32:K32">+E33+E34+E35+E36+E37+E38+E39</f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60000000</v>
      </c>
    </row>
    <row r="33" spans="1:11" s="45" customFormat="1" ht="12" customHeight="1">
      <c r="A33" s="46" t="s">
        <v>182</v>
      </c>
      <c r="B33" s="47" t="s">
        <v>183</v>
      </c>
      <c r="C33" s="48">
        <v>4500000</v>
      </c>
      <c r="D33" s="50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4500000</v>
      </c>
    </row>
    <row r="34" spans="1:11" s="45" customFormat="1" ht="12" customHeight="1">
      <c r="A34" s="53" t="s">
        <v>184</v>
      </c>
      <c r="B34" s="54" t="s">
        <v>185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55">
        <v>48000000</v>
      </c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48000000</v>
      </c>
    </row>
    <row r="36" spans="1:11" s="45" customFormat="1" ht="12" customHeight="1">
      <c r="A36" s="53" t="s">
        <v>188</v>
      </c>
      <c r="B36" s="54" t="s">
        <v>189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55">
        <v>7500000</v>
      </c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7500000</v>
      </c>
    </row>
    <row r="38" spans="1:11" s="45" customFormat="1" ht="12" customHeight="1">
      <c r="A38" s="53" t="s">
        <v>192</v>
      </c>
      <c r="B38" s="54" t="s">
        <v>193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1">
        <f>SUM(C41:C51)</f>
        <v>82863224</v>
      </c>
      <c r="D40" s="42">
        <f>SUM(D41:D51)</f>
        <v>0</v>
      </c>
      <c r="E40" s="43">
        <f aca="true" t="shared" si="12" ref="E40:K40">SUM(E41:E51)</f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82863224</v>
      </c>
    </row>
    <row r="41" spans="1:11" s="45" customFormat="1" ht="12" customHeight="1">
      <c r="A41" s="46" t="s">
        <v>198</v>
      </c>
      <c r="B41" s="47" t="s">
        <v>199</v>
      </c>
      <c r="C41" s="48">
        <v>2000000</v>
      </c>
      <c r="D41" s="49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2000000</v>
      </c>
    </row>
    <row r="42" spans="1:11" s="45" customFormat="1" ht="12" customHeight="1">
      <c r="A42" s="53" t="s">
        <v>200</v>
      </c>
      <c r="B42" s="54" t="s">
        <v>201</v>
      </c>
      <c r="C42" s="55">
        <v>7196000</v>
      </c>
      <c r="D42" s="56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7196000</v>
      </c>
    </row>
    <row r="43" spans="1:11" s="45" customFormat="1" ht="12" customHeight="1">
      <c r="A43" s="53" t="s">
        <v>202</v>
      </c>
      <c r="B43" s="54" t="s">
        <v>203</v>
      </c>
      <c r="C43" s="55">
        <v>8620000</v>
      </c>
      <c r="D43" s="56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8620000</v>
      </c>
    </row>
    <row r="44" spans="1:11" s="45" customFormat="1" ht="12" customHeight="1">
      <c r="A44" s="53" t="s">
        <v>204</v>
      </c>
      <c r="B44" s="54" t="s">
        <v>205</v>
      </c>
      <c r="C44" s="55">
        <v>13991000</v>
      </c>
      <c r="D44" s="56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13991000</v>
      </c>
    </row>
    <row r="45" spans="1:11" s="45" customFormat="1" ht="12" customHeight="1">
      <c r="A45" s="53" t="s">
        <v>206</v>
      </c>
      <c r="B45" s="54" t="s">
        <v>207</v>
      </c>
      <c r="C45" s="55">
        <v>40313475</v>
      </c>
      <c r="D45" s="56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40313475</v>
      </c>
    </row>
    <row r="46" spans="1:11" s="45" customFormat="1" ht="12" customHeight="1">
      <c r="A46" s="53" t="s">
        <v>208</v>
      </c>
      <c r="B46" s="54" t="s">
        <v>209</v>
      </c>
      <c r="C46" s="55">
        <v>9726749</v>
      </c>
      <c r="D46" s="56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9726749</v>
      </c>
    </row>
    <row r="47" spans="1:11" s="45" customFormat="1" ht="12" customHeight="1">
      <c r="A47" s="53" t="s">
        <v>210</v>
      </c>
      <c r="B47" s="54" t="s">
        <v>211</v>
      </c>
      <c r="C47" s="55"/>
      <c r="D47" s="56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55"/>
      <c r="D48" s="56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55"/>
      <c r="D49" s="56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8"/>
      <c r="D50" s="62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68">
        <v>1016000</v>
      </c>
      <c r="D51" s="62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1016000</v>
      </c>
    </row>
    <row r="52" spans="1:11" s="45" customFormat="1" ht="12" customHeight="1">
      <c r="A52" s="39" t="s">
        <v>220</v>
      </c>
      <c r="B52" s="40" t="s">
        <v>221</v>
      </c>
      <c r="C52" s="41">
        <f>SUM(C53:C57)</f>
        <v>0</v>
      </c>
      <c r="D52" s="42">
        <f>SUM(D53:D57)</f>
        <v>0</v>
      </c>
      <c r="E52" s="43">
        <f aca="true" t="shared" si="15" ref="E52:K52">SUM(E53:E57)</f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48"/>
      <c r="D53" s="49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55"/>
      <c r="D54" s="56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55"/>
      <c r="D55" s="56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55"/>
      <c r="D56" s="56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8"/>
      <c r="D57" s="73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1">
        <f>SUM(C59:C61)</f>
        <v>0</v>
      </c>
      <c r="D58" s="42">
        <f>SUM(D59:D61)</f>
        <v>0</v>
      </c>
      <c r="E58" s="43">
        <f aca="true" t="shared" si="16" ref="E58:K58">SUM(E59:E61)</f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48"/>
      <c r="D59" s="49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55"/>
      <c r="D60" s="56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55"/>
      <c r="D61" s="56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8"/>
      <c r="D62" s="62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1">
        <f>SUM(C64:C66)</f>
        <v>13000000</v>
      </c>
      <c r="D63" s="42">
        <f>SUM(D64:D66)</f>
        <v>0</v>
      </c>
      <c r="E63" s="43">
        <f aca="true" t="shared" si="17" ref="E63:K63">SUM(E64:E66)</f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13000000</v>
      </c>
    </row>
    <row r="64" spans="1:11" s="45" customFormat="1" ht="12" customHeight="1">
      <c r="A64" s="46" t="s">
        <v>244</v>
      </c>
      <c r="B64" s="47" t="s">
        <v>245</v>
      </c>
      <c r="C64" s="55"/>
      <c r="D64" s="56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55"/>
      <c r="D65" s="56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55">
        <v>13000000</v>
      </c>
      <c r="D66" s="56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13000000</v>
      </c>
    </row>
    <row r="67" spans="1:11" s="45" customFormat="1" ht="12" customHeight="1">
      <c r="A67" s="58" t="s">
        <v>250</v>
      </c>
      <c r="B67" s="59" t="s">
        <v>251</v>
      </c>
      <c r="C67" s="55"/>
      <c r="D67" s="56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1">
        <f>+C11+C18+C25+C32+C40+C52+C58+C63</f>
        <v>597709623</v>
      </c>
      <c r="D68" s="42">
        <f>+D11+D18+D25+D32+D40+D52+D58+D63</f>
        <v>190242594</v>
      </c>
      <c r="E68" s="43">
        <f aca="true" t="shared" si="18" ref="E68:K68">+E11+E18+E25+E32+E40+E52+E58+E63</f>
        <v>40586060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230828654</v>
      </c>
      <c r="K68" s="44">
        <f t="shared" si="18"/>
        <v>828538277</v>
      </c>
    </row>
    <row r="69" spans="1:11" s="45" customFormat="1" ht="12" customHeight="1">
      <c r="A69" s="86" t="s">
        <v>254</v>
      </c>
      <c r="B69" s="60" t="s">
        <v>255</v>
      </c>
      <c r="C69" s="41">
        <f>SUM(C70:C72)</f>
        <v>0</v>
      </c>
      <c r="D69" s="42">
        <f>SUM(D70:D72)</f>
        <v>0</v>
      </c>
      <c r="E69" s="43">
        <f aca="true" t="shared" si="19" ref="E69:K69">SUM(E70:E72)</f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55"/>
      <c r="D70" s="56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55"/>
      <c r="D71" s="56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260</v>
      </c>
      <c r="B72" s="166" t="s">
        <v>261</v>
      </c>
      <c r="C72" s="55"/>
      <c r="D72" s="73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1">
        <f>SUM(C74:C77)</f>
        <v>0</v>
      </c>
      <c r="D73" s="43">
        <f>SUM(D74:D77)</f>
        <v>0</v>
      </c>
      <c r="E73" s="43">
        <f aca="true" t="shared" si="20" ref="E73:K73">SUM(E74:E77)</f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8" t="s">
        <v>267</v>
      </c>
      <c r="C75" s="55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8" t="s">
        <v>269</v>
      </c>
      <c r="C76" s="68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270</v>
      </c>
      <c r="B77" s="167" t="s">
        <v>271</v>
      </c>
      <c r="C77" s="168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272</v>
      </c>
      <c r="B78" s="60" t="s">
        <v>273</v>
      </c>
      <c r="C78" s="41">
        <f>SUM(C79:C80)</f>
        <v>222877368</v>
      </c>
      <c r="D78" s="43">
        <f>SUM(D79:D80)</f>
        <v>176201951</v>
      </c>
      <c r="E78" s="43">
        <f aca="true" t="shared" si="21" ref="E78:K78">SUM(E79:E80)</f>
        <v>-1000000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175201951</v>
      </c>
      <c r="K78" s="44">
        <f t="shared" si="21"/>
        <v>398079319</v>
      </c>
    </row>
    <row r="79" spans="1:11" s="45" customFormat="1" ht="12" customHeight="1">
      <c r="A79" s="46" t="s">
        <v>274</v>
      </c>
      <c r="B79" s="47" t="s">
        <v>275</v>
      </c>
      <c r="C79" s="68">
        <v>222877368</v>
      </c>
      <c r="D79" s="67">
        <v>176201951</v>
      </c>
      <c r="E79" s="67">
        <v>-1000000</v>
      </c>
      <c r="F79" s="67"/>
      <c r="G79" s="67"/>
      <c r="H79" s="67"/>
      <c r="I79" s="67"/>
      <c r="J79" s="83">
        <f>D79+E79+F79+G79+H79+I79</f>
        <v>175201951</v>
      </c>
      <c r="K79" s="84">
        <f>C79+J79</f>
        <v>398079319</v>
      </c>
    </row>
    <row r="80" spans="1:11" s="45" customFormat="1" ht="12" customHeight="1">
      <c r="A80" s="58" t="s">
        <v>276</v>
      </c>
      <c r="B80" s="59" t="s">
        <v>277</v>
      </c>
      <c r="C80" s="168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1">
        <f>SUM(C82:C84)</f>
        <v>0</v>
      </c>
      <c r="D81" s="43">
        <f>SUM(D82:D84)</f>
        <v>0</v>
      </c>
      <c r="E81" s="43">
        <f aca="true" t="shared" si="22" ref="E81:K81">SUM(E82:E84)</f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1">
        <f>SUM(C86:C89)</f>
        <v>0</v>
      </c>
      <c r="D85" s="43">
        <f>SUM(D86:D89)</f>
        <v>0</v>
      </c>
      <c r="E85" s="43">
        <f aca="true" t="shared" si="23" ref="E85:K85">SUM(E86:E89)</f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300</v>
      </c>
      <c r="B92" s="60" t="s">
        <v>301</v>
      </c>
      <c r="C92" s="41">
        <f>+C69+C73+C78+C81+C85+C91+C90</f>
        <v>222877368</v>
      </c>
      <c r="D92" s="43">
        <f>+D69+D73+D78+D81+D85+D91+D90</f>
        <v>176201951</v>
      </c>
      <c r="E92" s="43">
        <f aca="true" t="shared" si="26" ref="E92:K92">+E69+E73+E78+E81+E85+E91+E90</f>
        <v>-1000000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175201951</v>
      </c>
      <c r="K92" s="44">
        <f t="shared" si="26"/>
        <v>398079319</v>
      </c>
    </row>
    <row r="93" spans="1:11" s="45" customFormat="1" ht="25.5" customHeight="1">
      <c r="A93" s="91" t="s">
        <v>302</v>
      </c>
      <c r="B93" s="92" t="s">
        <v>303</v>
      </c>
      <c r="C93" s="41">
        <f>+C68+C92</f>
        <v>820586991</v>
      </c>
      <c r="D93" s="43">
        <f>+D68+D92</f>
        <v>366444545</v>
      </c>
      <c r="E93" s="43">
        <f aca="true" t="shared" si="27" ref="E93:K93">+E68+E92</f>
        <v>39586060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406030605</v>
      </c>
      <c r="K93" s="44">
        <f t="shared" si="27"/>
        <v>1226617596</v>
      </c>
    </row>
    <row r="94" spans="1:3" s="45" customFormat="1" ht="30.75" customHeight="1">
      <c r="A94" s="101"/>
      <c r="B94" s="102"/>
      <c r="C94" s="103"/>
    </row>
    <row r="95" spans="1:11" ht="16.5" customHeight="1">
      <c r="A95" s="479" t="s">
        <v>304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</row>
    <row r="96" spans="1:11" s="105" customFormat="1" ht="16.5" customHeight="1">
      <c r="A96" s="480" t="s">
        <v>305</v>
      </c>
      <c r="B96" s="480"/>
      <c r="C96" s="104"/>
      <c r="K96" s="104" t="str">
        <f>K7</f>
        <v>Forintban!</v>
      </c>
    </row>
    <row r="97" spans="1:11" ht="12.75" customHeight="1">
      <c r="A97" s="475" t="s">
        <v>117</v>
      </c>
      <c r="B97" s="476" t="s">
        <v>306</v>
      </c>
      <c r="C97" s="477" t="str">
        <f>+CONCATENATE(LEFT(RM_ÖSSZEFÜGGÉSEK!A6,4),". évi")</f>
        <v>2019. évi</v>
      </c>
      <c r="D97" s="477"/>
      <c r="E97" s="477"/>
      <c r="F97" s="477"/>
      <c r="G97" s="477"/>
      <c r="H97" s="477"/>
      <c r="I97" s="477"/>
      <c r="J97" s="477"/>
      <c r="K97" s="477"/>
    </row>
    <row r="98" spans="1:11" ht="39" customHeight="1">
      <c r="A98" s="475"/>
      <c r="B98" s="476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.5. sz. módosítás </v>
      </c>
      <c r="I98" s="30" t="str">
        <f t="shared" si="28"/>
        <v>6. sz. módosítás </v>
      </c>
      <c r="J98" s="31" t="s">
        <v>126</v>
      </c>
      <c r="K98" s="32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4">
        <f>C101+C102+C103+C104+C105+C118</f>
        <v>617619266</v>
      </c>
      <c r="D100" s="115">
        <f>D101+D102+D103+D104+D105+D118</f>
        <v>366301912</v>
      </c>
      <c r="E100" s="115">
        <f aca="true" t="shared" si="29" ref="E100:K100">E101+E102+E103+E104+E105+E118</f>
        <v>13185766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379487678</v>
      </c>
      <c r="K100" s="116">
        <f t="shared" si="29"/>
        <v>997106944</v>
      </c>
    </row>
    <row r="101" spans="1:11" ht="12" customHeight="1">
      <c r="A101" s="117" t="s">
        <v>140</v>
      </c>
      <c r="B101" s="118" t="s">
        <v>308</v>
      </c>
      <c r="C101" s="93">
        <v>304353884</v>
      </c>
      <c r="D101" s="119">
        <v>128679337</v>
      </c>
      <c r="E101" s="119">
        <v>12214153</v>
      </c>
      <c r="F101" s="119"/>
      <c r="G101" s="119"/>
      <c r="H101" s="119"/>
      <c r="I101" s="119"/>
      <c r="J101" s="120">
        <f aca="true" t="shared" si="30" ref="J101:J120">D101+E101+F101+G101+H101+I101</f>
        <v>140893490</v>
      </c>
      <c r="K101" s="121">
        <f aca="true" t="shared" si="31" ref="K101:K120">C101+J101</f>
        <v>445247374</v>
      </c>
    </row>
    <row r="102" spans="1:11" ht="12" customHeight="1">
      <c r="A102" s="53" t="s">
        <v>142</v>
      </c>
      <c r="B102" s="122" t="s">
        <v>309</v>
      </c>
      <c r="C102" s="55">
        <v>55769637</v>
      </c>
      <c r="D102" s="67">
        <v>12685163</v>
      </c>
      <c r="E102" s="67">
        <v>2297910</v>
      </c>
      <c r="F102" s="67"/>
      <c r="G102" s="67"/>
      <c r="H102" s="67"/>
      <c r="I102" s="67"/>
      <c r="J102" s="83">
        <f t="shared" si="30"/>
        <v>14983073</v>
      </c>
      <c r="K102" s="84">
        <f t="shared" si="31"/>
        <v>70752710</v>
      </c>
    </row>
    <row r="103" spans="1:11" ht="12" customHeight="1">
      <c r="A103" s="53" t="s">
        <v>144</v>
      </c>
      <c r="B103" s="122" t="s">
        <v>310</v>
      </c>
      <c r="C103" s="68">
        <v>201699247</v>
      </c>
      <c r="D103" s="69">
        <v>35293550</v>
      </c>
      <c r="E103" s="69">
        <v>79209</v>
      </c>
      <c r="F103" s="69"/>
      <c r="G103" s="69"/>
      <c r="H103" s="69"/>
      <c r="I103" s="69"/>
      <c r="J103" s="123">
        <f t="shared" si="30"/>
        <v>35372759</v>
      </c>
      <c r="K103" s="124">
        <f t="shared" si="31"/>
        <v>237072006</v>
      </c>
    </row>
    <row r="104" spans="1:11" ht="12" customHeight="1">
      <c r="A104" s="53" t="s">
        <v>146</v>
      </c>
      <c r="B104" s="125" t="s">
        <v>311</v>
      </c>
      <c r="C104" s="68">
        <v>26630000</v>
      </c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26630000</v>
      </c>
    </row>
    <row r="105" spans="1:11" ht="12" customHeight="1">
      <c r="A105" s="53" t="s">
        <v>312</v>
      </c>
      <c r="B105" s="126" t="s">
        <v>313</v>
      </c>
      <c r="C105" s="68">
        <v>9166498</v>
      </c>
      <c r="D105" s="69">
        <v>5252601</v>
      </c>
      <c r="E105" s="69">
        <v>3021029</v>
      </c>
      <c r="F105" s="69"/>
      <c r="G105" s="69"/>
      <c r="H105" s="69"/>
      <c r="I105" s="69"/>
      <c r="J105" s="123">
        <f t="shared" si="30"/>
        <v>8273630</v>
      </c>
      <c r="K105" s="124">
        <f t="shared" si="31"/>
        <v>17440128</v>
      </c>
    </row>
    <row r="106" spans="1:11" ht="12" customHeight="1">
      <c r="A106" s="53" t="s">
        <v>150</v>
      </c>
      <c r="B106" s="122" t="s">
        <v>314</v>
      </c>
      <c r="C106" s="68">
        <v>5000000</v>
      </c>
      <c r="D106" s="69">
        <v>5252601</v>
      </c>
      <c r="E106" s="69"/>
      <c r="F106" s="69"/>
      <c r="G106" s="69"/>
      <c r="H106" s="69"/>
      <c r="I106" s="69"/>
      <c r="J106" s="123">
        <f t="shared" si="30"/>
        <v>5252601</v>
      </c>
      <c r="K106" s="124">
        <f t="shared" si="31"/>
        <v>10252601</v>
      </c>
    </row>
    <row r="107" spans="1:11" ht="12" customHeight="1">
      <c r="A107" s="53" t="s">
        <v>315</v>
      </c>
      <c r="B107" s="127" t="s">
        <v>316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323</v>
      </c>
      <c r="B111" s="129" t="s">
        <v>324</v>
      </c>
      <c r="C111" s="68">
        <v>8170838</v>
      </c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8170838</v>
      </c>
    </row>
    <row r="112" spans="1:11" ht="12" customHeight="1">
      <c r="A112" s="53" t="s">
        <v>325</v>
      </c>
      <c r="B112" s="128" t="s">
        <v>326</v>
      </c>
      <c r="C112" s="68"/>
      <c r="D112" s="69"/>
      <c r="E112" s="69">
        <v>3000000</v>
      </c>
      <c r="F112" s="69"/>
      <c r="G112" s="69"/>
      <c r="H112" s="69"/>
      <c r="I112" s="69"/>
      <c r="J112" s="123">
        <f t="shared" si="30"/>
        <v>3000000</v>
      </c>
      <c r="K112" s="124">
        <f t="shared" si="31"/>
        <v>3000000</v>
      </c>
    </row>
    <row r="113" spans="1:11" ht="12" customHeight="1">
      <c r="A113" s="53" t="s">
        <v>327</v>
      </c>
      <c r="B113" s="128" t="s">
        <v>328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8">
        <v>995660</v>
      </c>
      <c r="D117" s="69"/>
      <c r="E117" s="69">
        <v>21029</v>
      </c>
      <c r="F117" s="69"/>
      <c r="G117" s="69"/>
      <c r="H117" s="69"/>
      <c r="I117" s="69"/>
      <c r="J117" s="123">
        <f t="shared" si="30"/>
        <v>21029</v>
      </c>
      <c r="K117" s="124">
        <f t="shared" si="31"/>
        <v>1016689</v>
      </c>
    </row>
    <row r="118" spans="1:11" ht="12" customHeight="1">
      <c r="A118" s="53" t="s">
        <v>337</v>
      </c>
      <c r="B118" s="125" t="s">
        <v>338</v>
      </c>
      <c r="C118" s="55">
        <f>SUM(C119:C120)</f>
        <v>20000000</v>
      </c>
      <c r="D118" s="67">
        <f>SUM(D119:D120)</f>
        <v>184391261</v>
      </c>
      <c r="E118" s="67">
        <f>SUM(E119:E120)</f>
        <v>-4426535</v>
      </c>
      <c r="F118" s="67"/>
      <c r="G118" s="67"/>
      <c r="H118" s="67"/>
      <c r="I118" s="67"/>
      <c r="J118" s="83">
        <f t="shared" si="30"/>
        <v>179964726</v>
      </c>
      <c r="K118" s="84">
        <f t="shared" si="31"/>
        <v>199964726</v>
      </c>
    </row>
    <row r="119" spans="1:11" ht="12" customHeight="1">
      <c r="A119" s="53" t="s">
        <v>339</v>
      </c>
      <c r="B119" s="122" t="s">
        <v>340</v>
      </c>
      <c r="C119" s="55">
        <v>17647000</v>
      </c>
      <c r="D119" s="67">
        <v>168881420</v>
      </c>
      <c r="E119" s="67">
        <v>-4426535</v>
      </c>
      <c r="F119" s="67"/>
      <c r="G119" s="67"/>
      <c r="H119" s="67"/>
      <c r="I119" s="67"/>
      <c r="J119" s="83">
        <f t="shared" si="30"/>
        <v>164454885</v>
      </c>
      <c r="K119" s="84">
        <f t="shared" si="31"/>
        <v>182101885</v>
      </c>
    </row>
    <row r="120" spans="1:11" ht="12" customHeight="1">
      <c r="A120" s="70" t="s">
        <v>341</v>
      </c>
      <c r="B120" s="131" t="s">
        <v>342</v>
      </c>
      <c r="C120" s="72">
        <v>2353000</v>
      </c>
      <c r="D120" s="74">
        <v>15509841</v>
      </c>
      <c r="E120" s="74"/>
      <c r="F120" s="74"/>
      <c r="G120" s="74"/>
      <c r="H120" s="74"/>
      <c r="I120" s="74"/>
      <c r="J120" s="75">
        <f t="shared" si="30"/>
        <v>15509841</v>
      </c>
      <c r="K120" s="76">
        <f t="shared" si="31"/>
        <v>17862841</v>
      </c>
    </row>
    <row r="121" spans="1:11" ht="12" customHeight="1">
      <c r="A121" s="77" t="s">
        <v>152</v>
      </c>
      <c r="B121" s="132" t="s">
        <v>343</v>
      </c>
      <c r="C121" s="79">
        <f>+C122+C124+C126</f>
        <v>187577694</v>
      </c>
      <c r="D121" s="43">
        <f>+D122+D124+D126</f>
        <v>0</v>
      </c>
      <c r="E121" s="81">
        <f aca="true" t="shared" si="32" ref="E121:K121">+E122+E124+E126</f>
        <v>26042861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26042861</v>
      </c>
      <c r="K121" s="82">
        <f t="shared" si="32"/>
        <v>213620555</v>
      </c>
    </row>
    <row r="122" spans="1:11" ht="12" customHeight="1">
      <c r="A122" s="46" t="s">
        <v>154</v>
      </c>
      <c r="B122" s="122" t="s">
        <v>344</v>
      </c>
      <c r="C122" s="48">
        <v>28013862</v>
      </c>
      <c r="D122" s="49"/>
      <c r="E122" s="49">
        <v>-153846</v>
      </c>
      <c r="F122" s="49"/>
      <c r="G122" s="49"/>
      <c r="H122" s="49"/>
      <c r="I122" s="50"/>
      <c r="J122" s="51">
        <f aca="true" t="shared" si="33" ref="J122:J134">D122+E122+F122+G122+H122+I122</f>
        <v>-153846</v>
      </c>
      <c r="K122" s="52">
        <f aca="true" t="shared" si="34" ref="K122:K134">C122+J122</f>
        <v>27860016</v>
      </c>
    </row>
    <row r="123" spans="1:11" ht="12" customHeight="1">
      <c r="A123" s="46" t="s">
        <v>156</v>
      </c>
      <c r="B123" s="133" t="s">
        <v>345</v>
      </c>
      <c r="C123" s="48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55">
        <v>155763832</v>
      </c>
      <c r="D124" s="56"/>
      <c r="E124" s="56">
        <v>25846707</v>
      </c>
      <c r="F124" s="56"/>
      <c r="G124" s="56"/>
      <c r="H124" s="56"/>
      <c r="I124" s="67"/>
      <c r="J124" s="83">
        <f t="shared" si="33"/>
        <v>25846707</v>
      </c>
      <c r="K124" s="84">
        <f t="shared" si="34"/>
        <v>181610539</v>
      </c>
    </row>
    <row r="125" spans="1:11" ht="12" customHeight="1">
      <c r="A125" s="46" t="s">
        <v>160</v>
      </c>
      <c r="B125" s="133" t="s">
        <v>347</v>
      </c>
      <c r="C125" s="136">
        <v>120091212</v>
      </c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120091212</v>
      </c>
    </row>
    <row r="126" spans="1:11" ht="12" customHeight="1">
      <c r="A126" s="46" t="s">
        <v>162</v>
      </c>
      <c r="B126" s="59" t="s">
        <v>348</v>
      </c>
      <c r="C126" s="136">
        <v>3800000</v>
      </c>
      <c r="D126" s="56"/>
      <c r="E126" s="56">
        <v>350000</v>
      </c>
      <c r="F126" s="56"/>
      <c r="G126" s="56"/>
      <c r="H126" s="56"/>
      <c r="I126" s="67"/>
      <c r="J126" s="83">
        <f t="shared" si="33"/>
        <v>350000</v>
      </c>
      <c r="K126" s="84">
        <f t="shared" si="34"/>
        <v>4150000</v>
      </c>
    </row>
    <row r="127" spans="1:11" ht="12" customHeight="1">
      <c r="A127" s="46" t="s">
        <v>164</v>
      </c>
      <c r="B127" s="57" t="s">
        <v>349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136"/>
      <c r="D132" s="56"/>
      <c r="E132" s="56">
        <v>350000</v>
      </c>
      <c r="F132" s="56"/>
      <c r="G132" s="56"/>
      <c r="H132" s="56"/>
      <c r="I132" s="67"/>
      <c r="J132" s="83">
        <f t="shared" si="33"/>
        <v>350000</v>
      </c>
      <c r="K132" s="84">
        <f t="shared" si="34"/>
        <v>350000</v>
      </c>
    </row>
    <row r="133" spans="1:11" ht="12" customHeight="1">
      <c r="A133" s="46" t="s">
        <v>358</v>
      </c>
      <c r="B133" s="129" t="s">
        <v>359</v>
      </c>
      <c r="C133" s="136"/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0</v>
      </c>
    </row>
    <row r="134" spans="1:11" ht="22.5">
      <c r="A134" s="130" t="s">
        <v>360</v>
      </c>
      <c r="B134" s="129" t="s">
        <v>361</v>
      </c>
      <c r="C134" s="138">
        <v>3800000</v>
      </c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3800000</v>
      </c>
    </row>
    <row r="135" spans="1:11" ht="12" customHeight="1">
      <c r="A135" s="39" t="s">
        <v>166</v>
      </c>
      <c r="B135" s="40" t="s">
        <v>362</v>
      </c>
      <c r="C135" s="41">
        <f>+C100+C121</f>
        <v>805196960</v>
      </c>
      <c r="D135" s="42">
        <f>+D100+D121</f>
        <v>366301912</v>
      </c>
      <c r="E135" s="42">
        <f aca="true" t="shared" si="35" ref="E135:K135">+E100+E121</f>
        <v>39228627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405530539</v>
      </c>
      <c r="K135" s="44">
        <f t="shared" si="35"/>
        <v>1210727499</v>
      </c>
    </row>
    <row r="136" spans="1:11" ht="12" customHeight="1">
      <c r="A136" s="39" t="s">
        <v>363</v>
      </c>
      <c r="B136" s="40" t="s">
        <v>364</v>
      </c>
      <c r="C136" s="41">
        <f>+C137+C138+C139</f>
        <v>0</v>
      </c>
      <c r="D136" s="42">
        <f>+D137+D138+D139</f>
        <v>0</v>
      </c>
      <c r="E136" s="42">
        <f aca="true" t="shared" si="36" ref="E136:K136">+E137+E138+E139</f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1">
        <f>SUM(C141:C146)</f>
        <v>0</v>
      </c>
      <c r="D140" s="42">
        <f>SUM(D141:D146)</f>
        <v>0</v>
      </c>
      <c r="E140" s="42">
        <f aca="true" t="shared" si="37" ref="E140:K140">SUM(E141:E146)</f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55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169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1">
        <f>+C148+C149+C150+C151</f>
        <v>15390031</v>
      </c>
      <c r="D147" s="42">
        <f>+D148+D149+D150+D151</f>
        <v>0</v>
      </c>
      <c r="E147" s="42">
        <f aca="true" t="shared" si="40" ref="E147:K147">+E148+E149+E150+E151</f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15390031</v>
      </c>
    </row>
    <row r="148" spans="1:11" ht="12" customHeight="1">
      <c r="A148" s="46" t="s">
        <v>222</v>
      </c>
      <c r="B148" s="139" t="s">
        <v>376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136">
        <v>15390031</v>
      </c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15390031</v>
      </c>
    </row>
    <row r="150" spans="1:11" ht="12" customHeight="1">
      <c r="A150" s="46" t="s">
        <v>226</v>
      </c>
      <c r="B150" s="139" t="s">
        <v>378</v>
      </c>
      <c r="C150" s="55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169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2">
        <f>SUM(C153:C157)</f>
        <v>0</v>
      </c>
      <c r="D152" s="143">
        <f>SUM(D153:D157)</f>
        <v>0</v>
      </c>
      <c r="E152" s="143">
        <f aca="true" t="shared" si="41" ref="E152:K152">SUM(E153:E157)</f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42">
        <f>+C136+C140+C147+C152+C158+C159</f>
        <v>15390031</v>
      </c>
      <c r="D160" s="153">
        <f>+D136+D140+D147+D152+D158+D159</f>
        <v>0</v>
      </c>
      <c r="E160" s="153">
        <f aca="true" t="shared" si="44" ref="E160:K160">+E136+E140+E147+E152+E158+E159</f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15390031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42">
        <f>+C135+C160</f>
        <v>820586991</v>
      </c>
      <c r="D161" s="153">
        <f>+D135+D160</f>
        <v>366301912</v>
      </c>
      <c r="E161" s="153">
        <f aca="true" t="shared" si="45" ref="E161:K161">+E135+E160</f>
        <v>39228627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405530539</v>
      </c>
      <c r="K161" s="155">
        <f t="shared" si="45"/>
        <v>1226117530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464"/>
    </row>
    <row r="163" spans="1:11" ht="15.75">
      <c r="A163" s="481" t="s">
        <v>395</v>
      </c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</row>
    <row r="164" spans="1:11" ht="15" customHeight="1">
      <c r="A164" s="478" t="s">
        <v>396</v>
      </c>
      <c r="B164" s="4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-207487337</v>
      </c>
      <c r="D165" s="43">
        <f aca="true" t="shared" si="46" ref="D165:K165">+D68-D135</f>
        <v>-176059318</v>
      </c>
      <c r="E165" s="43">
        <f t="shared" si="46"/>
        <v>1357433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-174701885</v>
      </c>
      <c r="K165" s="44">
        <f t="shared" si="46"/>
        <v>-382189222</v>
      </c>
    </row>
    <row r="166" spans="1:11" ht="32.25" customHeight="1">
      <c r="A166" s="39" t="s">
        <v>152</v>
      </c>
      <c r="B166" s="164" t="s">
        <v>398</v>
      </c>
      <c r="C166" s="43">
        <f>+C92-C160</f>
        <v>207487337</v>
      </c>
      <c r="D166" s="43">
        <f aca="true" t="shared" si="47" ref="D166:K166">+D92-D160</f>
        <v>176201951</v>
      </c>
      <c r="E166" s="43">
        <f t="shared" si="47"/>
        <v>-1000000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175201951</v>
      </c>
      <c r="K166" s="44">
        <f t="shared" si="47"/>
        <v>382689288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145">
      <selection activeCell="E118" sqref="E118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71" t="str">
        <f>CONCATENATE("1.3. melléklet ",RM_ALAPADATOK!A7," ",RM_ALAPADATOK!B7," ",RM_ALAPADATOK!C7," ",RM_ALAPADATOK!D7," ",RM_ALAPADATOK!E7," ",RM_ALAPADATOK!F7," ",RM_ALAPADATOK!G7," ",RM_ALAPADATOK!H7)</f>
        <v>1.3. melléklet a  / 2019 (  ) önkormányzati rendelethez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72">
        <f>CONCATENATE(RM_ALAPADATOK!A4)</f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5.75">
      <c r="A4" s="472" t="s">
        <v>400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73" t="s">
        <v>114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</row>
    <row r="7" spans="1:11" ht="15.75" customHeight="1">
      <c r="A7" s="474" t="s">
        <v>115</v>
      </c>
      <c r="B7" s="4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75" t="s">
        <v>117</v>
      </c>
      <c r="B8" s="476" t="s">
        <v>118</v>
      </c>
      <c r="C8" s="477" t="str">
        <f>+CONCATENATE(LEFT(RM_ÖSSZEFÜGGÉSEK!A6,4),". évi")</f>
        <v>2019. évi</v>
      </c>
      <c r="D8" s="477"/>
      <c r="E8" s="477"/>
      <c r="F8" s="477"/>
      <c r="G8" s="477"/>
      <c r="H8" s="477"/>
      <c r="I8" s="477"/>
      <c r="J8" s="477"/>
      <c r="K8" s="477"/>
    </row>
    <row r="9" spans="1:11" ht="38.25" customHeight="1">
      <c r="A9" s="475"/>
      <c r="B9" s="476"/>
      <c r="C9" s="29" t="s">
        <v>119</v>
      </c>
      <c r="D9" s="30" t="str">
        <f>CONCATENATE('RM_1.2.sz.mell'!D9)</f>
        <v>1. sz. módosítás </v>
      </c>
      <c r="E9" s="30" t="str">
        <f>CONCATENATE('RM_1.2.sz.mell'!E9)</f>
        <v>2. sz. módosítás </v>
      </c>
      <c r="F9" s="30" t="str">
        <f>CONCATENATE('RM_1.2.sz.mell'!F9)</f>
        <v>3. sz. módosítás </v>
      </c>
      <c r="G9" s="30" t="str">
        <f>CONCATENATE('RM_1.2.sz.mell'!G9)</f>
        <v>4. sz. módosítás </v>
      </c>
      <c r="H9" s="30" t="str">
        <f>CONCATENATE('RM_1.2.sz.mell'!H9)</f>
        <v>.5. sz. módosítás </v>
      </c>
      <c r="I9" s="30" t="str">
        <f>CONCATENATE('RM_1.2.sz.mell'!I9)</f>
        <v>6. sz. módosítás </v>
      </c>
      <c r="J9" s="31" t="s">
        <v>126</v>
      </c>
      <c r="K9" s="32" t="str">
        <f>CONCATENATE('RM_1.2.sz.mell'!K9)</f>
        <v>2.számú módosítás utáni előirányzat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1">
        <f>+C12+C13+C14+C15+C16+C17</f>
        <v>0</v>
      </c>
      <c r="D11" s="43">
        <f aca="true" t="shared" si="0" ref="D11:K11">+D12+D13+D14+D15+D16+D17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4">
        <f t="shared" si="0"/>
        <v>0</v>
      </c>
    </row>
    <row r="12" spans="1:11" s="45" customFormat="1" ht="12" customHeight="1">
      <c r="A12" s="46" t="s">
        <v>140</v>
      </c>
      <c r="B12" s="47" t="s">
        <v>141</v>
      </c>
      <c r="C12" s="48"/>
      <c r="D12" s="50"/>
      <c r="E12" s="50"/>
      <c r="F12" s="50"/>
      <c r="G12" s="50"/>
      <c r="H12" s="50"/>
      <c r="I12" s="50"/>
      <c r="J12" s="51">
        <f aca="true" t="shared" si="1" ref="J12:J17">D12+E12+F12+G12+H12+I12</f>
        <v>0</v>
      </c>
      <c r="K12" s="52">
        <f aca="true" t="shared" si="2" ref="K12:K17">C12+J12</f>
        <v>0</v>
      </c>
    </row>
    <row r="13" spans="1:11" s="45" customFormat="1" ht="12" customHeight="1">
      <c r="A13" s="53" t="s">
        <v>142</v>
      </c>
      <c r="B13" s="54" t="s">
        <v>143</v>
      </c>
      <c r="C13" s="55"/>
      <c r="D13" s="67"/>
      <c r="E13" s="50"/>
      <c r="F13" s="50"/>
      <c r="G13" s="50"/>
      <c r="H13" s="50"/>
      <c r="I13" s="50"/>
      <c r="J13" s="51">
        <f t="shared" si="1"/>
        <v>0</v>
      </c>
      <c r="K13" s="52">
        <f t="shared" si="2"/>
        <v>0</v>
      </c>
    </row>
    <row r="14" spans="1:11" s="45" customFormat="1" ht="12" customHeight="1">
      <c r="A14" s="53" t="s">
        <v>144</v>
      </c>
      <c r="B14" s="54" t="s">
        <v>145</v>
      </c>
      <c r="C14" s="55"/>
      <c r="D14" s="67"/>
      <c r="E14" s="50"/>
      <c r="F14" s="50"/>
      <c r="G14" s="50"/>
      <c r="H14" s="50"/>
      <c r="I14" s="50"/>
      <c r="J14" s="51">
        <f t="shared" si="1"/>
        <v>0</v>
      </c>
      <c r="K14" s="52">
        <f t="shared" si="2"/>
        <v>0</v>
      </c>
    </row>
    <row r="15" spans="1:11" s="45" customFormat="1" ht="12" customHeight="1">
      <c r="A15" s="53" t="s">
        <v>146</v>
      </c>
      <c r="B15" s="54" t="s">
        <v>147</v>
      </c>
      <c r="C15" s="55"/>
      <c r="D15" s="67"/>
      <c r="E15" s="50"/>
      <c r="F15" s="50"/>
      <c r="G15" s="50"/>
      <c r="H15" s="50"/>
      <c r="I15" s="50"/>
      <c r="J15" s="51">
        <f t="shared" si="1"/>
        <v>0</v>
      </c>
      <c r="K15" s="52">
        <f t="shared" si="2"/>
        <v>0</v>
      </c>
    </row>
    <row r="16" spans="1:11" s="45" customFormat="1" ht="12" customHeight="1">
      <c r="A16" s="53" t="s">
        <v>148</v>
      </c>
      <c r="B16" s="57" t="s">
        <v>149</v>
      </c>
      <c r="C16" s="55"/>
      <c r="D16" s="67"/>
      <c r="E16" s="50"/>
      <c r="F16" s="50"/>
      <c r="G16" s="50"/>
      <c r="H16" s="50"/>
      <c r="I16" s="50"/>
      <c r="J16" s="51">
        <f t="shared" si="1"/>
        <v>0</v>
      </c>
      <c r="K16" s="52">
        <f t="shared" si="2"/>
        <v>0</v>
      </c>
    </row>
    <row r="17" spans="1:11" s="45" customFormat="1" ht="12" customHeight="1">
      <c r="A17" s="58" t="s">
        <v>150</v>
      </c>
      <c r="B17" s="59" t="s">
        <v>151</v>
      </c>
      <c r="C17" s="55"/>
      <c r="D17" s="67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1">
        <f>+C19+C20+C21+C22+C23</f>
        <v>3739296</v>
      </c>
      <c r="D18" s="43">
        <f aca="true" t="shared" si="3" ref="D18:K18">+D19+D20+D21+D22+D23</f>
        <v>4506537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4506537</v>
      </c>
      <c r="K18" s="44">
        <f t="shared" si="3"/>
        <v>8245833</v>
      </c>
    </row>
    <row r="19" spans="1:11" s="45" customFormat="1" ht="12" customHeight="1">
      <c r="A19" s="46" t="s">
        <v>154</v>
      </c>
      <c r="B19" s="47" t="s">
        <v>155</v>
      </c>
      <c r="C19" s="48"/>
      <c r="D19" s="50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55"/>
      <c r="D20" s="67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55"/>
      <c r="D21" s="67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55"/>
      <c r="D22" s="67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55">
        <v>3739296</v>
      </c>
      <c r="D23" s="67">
        <v>4506537</v>
      </c>
      <c r="E23" s="50"/>
      <c r="F23" s="50"/>
      <c r="G23" s="50"/>
      <c r="H23" s="50"/>
      <c r="I23" s="50"/>
      <c r="J23" s="51">
        <f t="shared" si="4"/>
        <v>4506537</v>
      </c>
      <c r="K23" s="52">
        <f t="shared" si="5"/>
        <v>8245833</v>
      </c>
    </row>
    <row r="24" spans="1:11" s="45" customFormat="1" ht="12" customHeight="1">
      <c r="A24" s="58" t="s">
        <v>164</v>
      </c>
      <c r="B24" s="59" t="s">
        <v>165</v>
      </c>
      <c r="C24" s="68"/>
      <c r="D24" s="69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166</v>
      </c>
      <c r="B25" s="40" t="s">
        <v>167</v>
      </c>
      <c r="C25" s="41">
        <f>+C26+C27+C28+C29+C30</f>
        <v>0</v>
      </c>
      <c r="D25" s="43">
        <f aca="true" t="shared" si="6" ref="D25:K25">+D26+D27+D28+D29+D30</f>
        <v>18677994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18677994</v>
      </c>
      <c r="K25" s="44">
        <f t="shared" si="6"/>
        <v>18677994</v>
      </c>
    </row>
    <row r="26" spans="1:11" s="45" customFormat="1" ht="12" customHeight="1">
      <c r="A26" s="46" t="s">
        <v>168</v>
      </c>
      <c r="B26" s="47" t="s">
        <v>169</v>
      </c>
      <c r="C26" s="48"/>
      <c r="D26" s="50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0</v>
      </c>
    </row>
    <row r="27" spans="1:11" s="45" customFormat="1" ht="12" customHeight="1">
      <c r="A27" s="53" t="s">
        <v>170</v>
      </c>
      <c r="B27" s="54" t="s">
        <v>171</v>
      </c>
      <c r="C27" s="55"/>
      <c r="D27" s="67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55"/>
      <c r="D28" s="67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55"/>
      <c r="D29" s="67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55"/>
      <c r="D30" s="67">
        <v>18677994</v>
      </c>
      <c r="E30" s="50"/>
      <c r="F30" s="50"/>
      <c r="G30" s="50"/>
      <c r="H30" s="50"/>
      <c r="I30" s="50"/>
      <c r="J30" s="51">
        <f t="shared" si="7"/>
        <v>18677994</v>
      </c>
      <c r="K30" s="52">
        <f t="shared" si="8"/>
        <v>18677994</v>
      </c>
    </row>
    <row r="31" spans="1:11" s="45" customFormat="1" ht="12" customHeight="1">
      <c r="A31" s="58" t="s">
        <v>178</v>
      </c>
      <c r="B31" s="64" t="s">
        <v>179</v>
      </c>
      <c r="C31" s="65"/>
      <c r="D31" s="69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1">
        <f>SUM(C33:C39)</f>
        <v>0</v>
      </c>
      <c r="D32" s="43">
        <f aca="true" t="shared" si="9" ref="D32:K32">+D33+D34+D35+D36+D37+D38+D39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0</v>
      </c>
    </row>
    <row r="33" spans="1:11" s="45" customFormat="1" ht="12" customHeight="1">
      <c r="A33" s="46" t="s">
        <v>182</v>
      </c>
      <c r="B33" s="47" t="s">
        <v>183</v>
      </c>
      <c r="C33" s="48"/>
      <c r="D33" s="51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0</v>
      </c>
    </row>
    <row r="34" spans="1:11" s="45" customFormat="1" ht="12" customHeight="1">
      <c r="A34" s="53" t="s">
        <v>184</v>
      </c>
      <c r="B34" s="54" t="s">
        <v>185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55"/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0</v>
      </c>
    </row>
    <row r="36" spans="1:11" s="45" customFormat="1" ht="12" customHeight="1">
      <c r="A36" s="53" t="s">
        <v>188</v>
      </c>
      <c r="B36" s="54" t="s">
        <v>189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55"/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0</v>
      </c>
    </row>
    <row r="38" spans="1:11" s="45" customFormat="1" ht="12" customHeight="1">
      <c r="A38" s="53" t="s">
        <v>192</v>
      </c>
      <c r="B38" s="54" t="s">
        <v>193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1">
        <f>SUM(C41:C51)</f>
        <v>17612862</v>
      </c>
      <c r="D40" s="43">
        <f aca="true" t="shared" si="12" ref="D40:K40">SUM(D41:D51)</f>
        <v>0</v>
      </c>
      <c r="E40" s="43">
        <f t="shared" si="12"/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17612862</v>
      </c>
    </row>
    <row r="41" spans="1:11" s="45" customFormat="1" ht="12" customHeight="1">
      <c r="A41" s="46" t="s">
        <v>198</v>
      </c>
      <c r="B41" s="47" t="s">
        <v>199</v>
      </c>
      <c r="C41" s="48">
        <v>13812490</v>
      </c>
      <c r="D41" s="50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13812490</v>
      </c>
    </row>
    <row r="42" spans="1:11" s="45" customFormat="1" ht="12" customHeight="1">
      <c r="A42" s="53" t="s">
        <v>200</v>
      </c>
      <c r="B42" s="54" t="s">
        <v>201</v>
      </c>
      <c r="C42" s="55"/>
      <c r="D42" s="67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0</v>
      </c>
    </row>
    <row r="43" spans="1:11" s="45" customFormat="1" ht="12" customHeight="1">
      <c r="A43" s="53" t="s">
        <v>202</v>
      </c>
      <c r="B43" s="54" t="s">
        <v>203</v>
      </c>
      <c r="C43" s="55"/>
      <c r="D43" s="67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0</v>
      </c>
    </row>
    <row r="44" spans="1:11" s="45" customFormat="1" ht="12" customHeight="1">
      <c r="A44" s="53" t="s">
        <v>204</v>
      </c>
      <c r="B44" s="54" t="s">
        <v>205</v>
      </c>
      <c r="C44" s="55">
        <v>800000</v>
      </c>
      <c r="D44" s="67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800000</v>
      </c>
    </row>
    <row r="45" spans="1:11" s="45" customFormat="1" ht="12" customHeight="1">
      <c r="A45" s="53" t="s">
        <v>206</v>
      </c>
      <c r="B45" s="54" t="s">
        <v>207</v>
      </c>
      <c r="C45" s="55"/>
      <c r="D45" s="67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0</v>
      </c>
    </row>
    <row r="46" spans="1:11" s="45" customFormat="1" ht="12" customHeight="1">
      <c r="A46" s="53" t="s">
        <v>208</v>
      </c>
      <c r="B46" s="54" t="s">
        <v>209</v>
      </c>
      <c r="C46" s="55">
        <v>3000372</v>
      </c>
      <c r="D46" s="67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3000372</v>
      </c>
    </row>
    <row r="47" spans="1:11" s="45" customFormat="1" ht="12" customHeight="1">
      <c r="A47" s="53" t="s">
        <v>210</v>
      </c>
      <c r="B47" s="54" t="s">
        <v>211</v>
      </c>
      <c r="C47" s="55"/>
      <c r="D47" s="67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55"/>
      <c r="D48" s="67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55"/>
      <c r="D49" s="67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8"/>
      <c r="D50" s="69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68"/>
      <c r="D51" s="74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0</v>
      </c>
    </row>
    <row r="52" spans="1:11" s="45" customFormat="1" ht="12" customHeight="1">
      <c r="A52" s="39" t="s">
        <v>220</v>
      </c>
      <c r="B52" s="40" t="s">
        <v>221</v>
      </c>
      <c r="C52" s="41">
        <f>SUM(C53:C57)</f>
        <v>0</v>
      </c>
      <c r="D52" s="43">
        <f aca="true" t="shared" si="15" ref="D52:K52">SUM(D53:D57)</f>
        <v>0</v>
      </c>
      <c r="E52" s="43">
        <f t="shared" si="15"/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48"/>
      <c r="D53" s="50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55"/>
      <c r="D54" s="67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55"/>
      <c r="D55" s="67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55"/>
      <c r="D56" s="67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8"/>
      <c r="D57" s="69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1">
        <f>SUM(C59:C61)</f>
        <v>0</v>
      </c>
      <c r="D58" s="43">
        <f aca="true" t="shared" si="16" ref="D58:K58">SUM(D59:D61)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48"/>
      <c r="D59" s="50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55"/>
      <c r="D60" s="67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55"/>
      <c r="D61" s="67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8"/>
      <c r="D62" s="69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1">
        <f>SUM(C64:C66)</f>
        <v>0</v>
      </c>
      <c r="D63" s="43">
        <f aca="true" t="shared" si="17" ref="D63:K63">SUM(D64:D66)</f>
        <v>0</v>
      </c>
      <c r="E63" s="43">
        <f t="shared" si="17"/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0</v>
      </c>
    </row>
    <row r="64" spans="1:11" s="45" customFormat="1" ht="12" customHeight="1">
      <c r="A64" s="46" t="s">
        <v>244</v>
      </c>
      <c r="B64" s="47" t="s">
        <v>245</v>
      </c>
      <c r="C64" s="55"/>
      <c r="D64" s="67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55"/>
      <c r="D65" s="67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55"/>
      <c r="D66" s="67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0</v>
      </c>
    </row>
    <row r="67" spans="1:11" s="45" customFormat="1" ht="12" customHeight="1">
      <c r="A67" s="58" t="s">
        <v>250</v>
      </c>
      <c r="B67" s="59" t="s">
        <v>251</v>
      </c>
      <c r="C67" s="55"/>
      <c r="D67" s="67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1">
        <f>+C11+C18+C25+C32+C40+C52+C58+C63</f>
        <v>21352158</v>
      </c>
      <c r="D68" s="43">
        <f aca="true" t="shared" si="18" ref="D68:K68">+D11+D18+D25+D32+D40+D52+D58+D63</f>
        <v>23184531</v>
      </c>
      <c r="E68" s="43">
        <f t="shared" si="18"/>
        <v>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23184531</v>
      </c>
      <c r="K68" s="44">
        <f t="shared" si="18"/>
        <v>44536689</v>
      </c>
    </row>
    <row r="69" spans="1:11" s="45" customFormat="1" ht="12" customHeight="1">
      <c r="A69" s="86" t="s">
        <v>254</v>
      </c>
      <c r="B69" s="60" t="s">
        <v>255</v>
      </c>
      <c r="C69" s="41">
        <f>SUM(C70:C72)</f>
        <v>0</v>
      </c>
      <c r="D69" s="43">
        <f aca="true" t="shared" si="19" ref="D69:K69">SUM(D70:D72)</f>
        <v>0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55"/>
      <c r="D70" s="67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260</v>
      </c>
      <c r="B72" s="166" t="s">
        <v>261</v>
      </c>
      <c r="C72" s="55"/>
      <c r="D72" s="74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1">
        <f>SUM(C74:C77)</f>
        <v>0</v>
      </c>
      <c r="D73" s="43">
        <f aca="true" t="shared" si="20" ref="D73:K73">SUM(D74:D77)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8" t="s">
        <v>267</v>
      </c>
      <c r="C75" s="55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8" t="s">
        <v>269</v>
      </c>
      <c r="C76" s="68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270</v>
      </c>
      <c r="B77" s="167" t="s">
        <v>271</v>
      </c>
      <c r="C77" s="168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272</v>
      </c>
      <c r="B78" s="60" t="s">
        <v>273</v>
      </c>
      <c r="C78" s="41">
        <f>SUM(C79:C80)</f>
        <v>30241394</v>
      </c>
      <c r="D78" s="43">
        <f aca="true" t="shared" si="21" ref="D78:K78">SUM(D79:D80)</f>
        <v>13688</v>
      </c>
      <c r="E78" s="43">
        <f t="shared" si="21"/>
        <v>1000000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1013688</v>
      </c>
      <c r="K78" s="44">
        <f t="shared" si="21"/>
        <v>31255082</v>
      </c>
    </row>
    <row r="79" spans="1:11" s="45" customFormat="1" ht="12" customHeight="1">
      <c r="A79" s="46" t="s">
        <v>274</v>
      </c>
      <c r="B79" s="47" t="s">
        <v>275</v>
      </c>
      <c r="C79" s="68">
        <v>30241394</v>
      </c>
      <c r="D79" s="67">
        <v>13688</v>
      </c>
      <c r="E79" s="67">
        <v>1000000</v>
      </c>
      <c r="F79" s="67"/>
      <c r="G79" s="67"/>
      <c r="H79" s="67"/>
      <c r="I79" s="67"/>
      <c r="J79" s="83">
        <f>D79+E79+F79+G79+H79+I79</f>
        <v>1013688</v>
      </c>
      <c r="K79" s="84">
        <f>C79+J79</f>
        <v>31255082</v>
      </c>
    </row>
    <row r="80" spans="1:11" s="45" customFormat="1" ht="12" customHeight="1">
      <c r="A80" s="58" t="s">
        <v>276</v>
      </c>
      <c r="B80" s="59" t="s">
        <v>277</v>
      </c>
      <c r="C80" s="168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1">
        <f>SUM(C82:C84)</f>
        <v>0</v>
      </c>
      <c r="D81" s="43">
        <f aca="true" t="shared" si="22" ref="D81:K81">SUM(D82:D84)</f>
        <v>0</v>
      </c>
      <c r="E81" s="43">
        <f t="shared" si="22"/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1">
        <f>SUM(C86:C89)</f>
        <v>0</v>
      </c>
      <c r="D85" s="43">
        <f aca="true" t="shared" si="23" ref="D85:K85">SUM(D86:D89)</f>
        <v>0</v>
      </c>
      <c r="E85" s="43">
        <f t="shared" si="23"/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171" t="s">
        <v>300</v>
      </c>
      <c r="B92" s="172" t="s">
        <v>301</v>
      </c>
      <c r="C92" s="41">
        <f>+C69+C73+C78+C81+C85+C91+C90</f>
        <v>30241394</v>
      </c>
      <c r="D92" s="115">
        <f aca="true" t="shared" si="26" ref="D92:K92">+D69+D73+D78+D81+D85+D91+D90</f>
        <v>13688</v>
      </c>
      <c r="E92" s="43">
        <f t="shared" si="26"/>
        <v>1000000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1013688</v>
      </c>
      <c r="K92" s="44">
        <f t="shared" si="26"/>
        <v>31255082</v>
      </c>
    </row>
    <row r="93" spans="1:11" s="45" customFormat="1" ht="25.5" customHeight="1">
      <c r="A93" s="86" t="s">
        <v>302</v>
      </c>
      <c r="B93" s="60" t="s">
        <v>303</v>
      </c>
      <c r="C93" s="41">
        <f>+C68+C92</f>
        <v>51593552</v>
      </c>
      <c r="D93" s="43">
        <f aca="true" t="shared" si="27" ref="D93:K93">+D68+D92</f>
        <v>23198219</v>
      </c>
      <c r="E93" s="43">
        <f t="shared" si="27"/>
        <v>1000000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24198219</v>
      </c>
      <c r="K93" s="44">
        <f t="shared" si="27"/>
        <v>75791771</v>
      </c>
    </row>
    <row r="94" spans="1:3" s="45" customFormat="1" ht="30.75" customHeight="1">
      <c r="A94" s="101"/>
      <c r="B94" s="102"/>
      <c r="C94" s="103"/>
    </row>
    <row r="95" spans="1:11" ht="16.5" customHeight="1">
      <c r="A95" s="479" t="s">
        <v>304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</row>
    <row r="96" spans="1:11" s="105" customFormat="1" ht="16.5" customHeight="1">
      <c r="A96" s="480" t="s">
        <v>305</v>
      </c>
      <c r="B96" s="480"/>
      <c r="C96" s="104"/>
      <c r="K96" s="104" t="str">
        <f>K7</f>
        <v>Forintban!</v>
      </c>
    </row>
    <row r="97" spans="1:11" ht="12.75" customHeight="1">
      <c r="A97" s="475" t="s">
        <v>117</v>
      </c>
      <c r="B97" s="476" t="s">
        <v>306</v>
      </c>
      <c r="C97" s="477" t="str">
        <f>+CONCATENATE(LEFT(RM_ÖSSZEFÜGGÉSEK!A6,4),". évi")</f>
        <v>2019. évi</v>
      </c>
      <c r="D97" s="477"/>
      <c r="E97" s="477"/>
      <c r="F97" s="477"/>
      <c r="G97" s="477"/>
      <c r="H97" s="477"/>
      <c r="I97" s="477"/>
      <c r="J97" s="477"/>
      <c r="K97" s="477"/>
    </row>
    <row r="98" spans="1:11" ht="48">
      <c r="A98" s="475"/>
      <c r="B98" s="476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.5. sz. módosítás </v>
      </c>
      <c r="I98" s="30" t="str">
        <f t="shared" si="28"/>
        <v>6. sz. módosítás </v>
      </c>
      <c r="J98" s="31" t="s">
        <v>126</v>
      </c>
      <c r="K98" s="32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4">
        <f>C101+C102+C103+C104+C105+C118</f>
        <v>48593552</v>
      </c>
      <c r="D100" s="115">
        <f aca="true" t="shared" si="29" ref="D100:K100">D101+D102+D103+D104+D105+D118</f>
        <v>3922410</v>
      </c>
      <c r="E100" s="115">
        <f t="shared" si="29"/>
        <v>1184050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5106460</v>
      </c>
      <c r="K100" s="116">
        <f t="shared" si="29"/>
        <v>53700012</v>
      </c>
    </row>
    <row r="101" spans="1:11" ht="12" customHeight="1">
      <c r="A101" s="117" t="s">
        <v>140</v>
      </c>
      <c r="B101" s="118" t="s">
        <v>308</v>
      </c>
      <c r="C101" s="93">
        <v>12514435</v>
      </c>
      <c r="D101" s="119">
        <v>1034783</v>
      </c>
      <c r="E101" s="119">
        <v>154016</v>
      </c>
      <c r="F101" s="119"/>
      <c r="G101" s="119"/>
      <c r="H101" s="119"/>
      <c r="I101" s="119"/>
      <c r="J101" s="120">
        <f aca="true" t="shared" si="30" ref="J101:J120">D101+E101+F101+G101+H101+I101</f>
        <v>1188799</v>
      </c>
      <c r="K101" s="121">
        <f aca="true" t="shared" si="31" ref="K101:K120">C101+J101</f>
        <v>13703234</v>
      </c>
    </row>
    <row r="102" spans="1:11" ht="12" customHeight="1">
      <c r="A102" s="53" t="s">
        <v>142</v>
      </c>
      <c r="B102" s="122" t="s">
        <v>309</v>
      </c>
      <c r="C102" s="55">
        <v>2372881</v>
      </c>
      <c r="D102" s="67">
        <v>166072</v>
      </c>
      <c r="E102" s="67">
        <v>30034</v>
      </c>
      <c r="F102" s="67"/>
      <c r="G102" s="67"/>
      <c r="H102" s="67"/>
      <c r="I102" s="67"/>
      <c r="J102" s="83">
        <f t="shared" si="30"/>
        <v>196106</v>
      </c>
      <c r="K102" s="84">
        <f t="shared" si="31"/>
        <v>2568987</v>
      </c>
    </row>
    <row r="103" spans="1:11" ht="12" customHeight="1">
      <c r="A103" s="53" t="s">
        <v>144</v>
      </c>
      <c r="B103" s="122" t="s">
        <v>310</v>
      </c>
      <c r="C103" s="68">
        <v>31706236</v>
      </c>
      <c r="D103" s="69">
        <v>2721555</v>
      </c>
      <c r="E103" s="69"/>
      <c r="F103" s="69"/>
      <c r="G103" s="69"/>
      <c r="H103" s="69"/>
      <c r="I103" s="69"/>
      <c r="J103" s="123">
        <f t="shared" si="30"/>
        <v>2721555</v>
      </c>
      <c r="K103" s="124">
        <f t="shared" si="31"/>
        <v>34427791</v>
      </c>
    </row>
    <row r="104" spans="1:11" ht="12" customHeight="1">
      <c r="A104" s="53" t="s">
        <v>146</v>
      </c>
      <c r="B104" s="125" t="s">
        <v>311</v>
      </c>
      <c r="C104" s="68"/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0</v>
      </c>
    </row>
    <row r="105" spans="1:11" ht="12" customHeight="1">
      <c r="A105" s="53" t="s">
        <v>312</v>
      </c>
      <c r="B105" s="126" t="s">
        <v>313</v>
      </c>
      <c r="C105" s="68">
        <v>2000000</v>
      </c>
      <c r="D105" s="69"/>
      <c r="E105" s="69">
        <v>1000000</v>
      </c>
      <c r="F105" s="69"/>
      <c r="G105" s="69"/>
      <c r="H105" s="69"/>
      <c r="I105" s="69"/>
      <c r="J105" s="123">
        <f t="shared" si="30"/>
        <v>1000000</v>
      </c>
      <c r="K105" s="124">
        <f t="shared" si="31"/>
        <v>3000000</v>
      </c>
    </row>
    <row r="106" spans="1:11" ht="12" customHeight="1">
      <c r="A106" s="53" t="s">
        <v>150</v>
      </c>
      <c r="B106" s="122" t="s">
        <v>314</v>
      </c>
      <c r="C106" s="68"/>
      <c r="D106" s="69"/>
      <c r="E106" s="69"/>
      <c r="F106" s="69"/>
      <c r="G106" s="69"/>
      <c r="H106" s="69"/>
      <c r="I106" s="69"/>
      <c r="J106" s="123">
        <f t="shared" si="30"/>
        <v>0</v>
      </c>
      <c r="K106" s="124">
        <f t="shared" si="31"/>
        <v>0</v>
      </c>
    </row>
    <row r="107" spans="1:11" ht="12" customHeight="1">
      <c r="A107" s="53" t="s">
        <v>315</v>
      </c>
      <c r="B107" s="127" t="s">
        <v>316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323</v>
      </c>
      <c r="B111" s="129" t="s">
        <v>324</v>
      </c>
      <c r="C111" s="68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325</v>
      </c>
      <c r="B112" s="128" t="s">
        <v>326</v>
      </c>
      <c r="C112" s="68"/>
      <c r="D112" s="69"/>
      <c r="E112" s="69"/>
      <c r="F112" s="69"/>
      <c r="G112" s="69"/>
      <c r="H112" s="69"/>
      <c r="I112" s="69"/>
      <c r="J112" s="123">
        <f t="shared" si="30"/>
        <v>0</v>
      </c>
      <c r="K112" s="124">
        <f t="shared" si="31"/>
        <v>0</v>
      </c>
    </row>
    <row r="113" spans="1:11" ht="12" customHeight="1">
      <c r="A113" s="53" t="s">
        <v>327</v>
      </c>
      <c r="B113" s="128" t="s">
        <v>328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8">
        <v>2000000</v>
      </c>
      <c r="D117" s="69"/>
      <c r="E117" s="69">
        <v>1000000</v>
      </c>
      <c r="F117" s="69"/>
      <c r="G117" s="69"/>
      <c r="H117" s="69"/>
      <c r="I117" s="69"/>
      <c r="J117" s="123">
        <f t="shared" si="30"/>
        <v>1000000</v>
      </c>
      <c r="K117" s="124">
        <f t="shared" si="31"/>
        <v>3000000</v>
      </c>
    </row>
    <row r="118" spans="1:11" ht="12" customHeight="1">
      <c r="A118" s="53" t="s">
        <v>337</v>
      </c>
      <c r="B118" s="125" t="s">
        <v>338</v>
      </c>
      <c r="C118" s="55"/>
      <c r="D118" s="67"/>
      <c r="E118" s="67"/>
      <c r="F118" s="67"/>
      <c r="G118" s="67"/>
      <c r="H118" s="67"/>
      <c r="I118" s="67"/>
      <c r="J118" s="83">
        <f t="shared" si="30"/>
        <v>0</v>
      </c>
      <c r="K118" s="84">
        <f t="shared" si="31"/>
        <v>0</v>
      </c>
    </row>
    <row r="119" spans="1:11" ht="12" customHeight="1">
      <c r="A119" s="53" t="s">
        <v>339</v>
      </c>
      <c r="B119" s="122" t="s">
        <v>340</v>
      </c>
      <c r="C119" s="55"/>
      <c r="D119" s="67"/>
      <c r="E119" s="67"/>
      <c r="F119" s="67"/>
      <c r="G119" s="67"/>
      <c r="H119" s="67"/>
      <c r="I119" s="67"/>
      <c r="J119" s="83">
        <f t="shared" si="30"/>
        <v>0</v>
      </c>
      <c r="K119" s="84">
        <f t="shared" si="31"/>
        <v>0</v>
      </c>
    </row>
    <row r="120" spans="1:11" ht="12" customHeight="1">
      <c r="A120" s="70" t="s">
        <v>341</v>
      </c>
      <c r="B120" s="131" t="s">
        <v>342</v>
      </c>
      <c r="C120" s="72"/>
      <c r="D120" s="74"/>
      <c r="E120" s="74"/>
      <c r="F120" s="74"/>
      <c r="G120" s="74"/>
      <c r="H120" s="74"/>
      <c r="I120" s="74"/>
      <c r="J120" s="75">
        <f t="shared" si="30"/>
        <v>0</v>
      </c>
      <c r="K120" s="76">
        <f t="shared" si="31"/>
        <v>0</v>
      </c>
    </row>
    <row r="121" spans="1:11" ht="12" customHeight="1">
      <c r="A121" s="77" t="s">
        <v>152</v>
      </c>
      <c r="B121" s="132" t="s">
        <v>343</v>
      </c>
      <c r="C121" s="79">
        <f>+C122+C124+C126</f>
        <v>3000000</v>
      </c>
      <c r="D121" s="43">
        <f aca="true" t="shared" si="32" ref="D121:K121">+D122+D124+D126</f>
        <v>19418442</v>
      </c>
      <c r="E121" s="81">
        <f t="shared" si="32"/>
        <v>173383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19591825</v>
      </c>
      <c r="K121" s="82">
        <f t="shared" si="32"/>
        <v>22591825</v>
      </c>
    </row>
    <row r="122" spans="1:11" ht="12" customHeight="1">
      <c r="A122" s="46" t="s">
        <v>154</v>
      </c>
      <c r="B122" s="122" t="s">
        <v>344</v>
      </c>
      <c r="C122" s="48"/>
      <c r="D122" s="49">
        <v>19418442</v>
      </c>
      <c r="E122" s="49">
        <v>173383</v>
      </c>
      <c r="F122" s="49"/>
      <c r="G122" s="49"/>
      <c r="H122" s="49"/>
      <c r="I122" s="50"/>
      <c r="J122" s="51">
        <f aca="true" t="shared" si="33" ref="J122:J134">D122+E122+F122+G122+H122+I122</f>
        <v>19591825</v>
      </c>
      <c r="K122" s="52">
        <f aca="true" t="shared" si="34" ref="K122:K134">C122+J122</f>
        <v>19591825</v>
      </c>
    </row>
    <row r="123" spans="1:11" ht="12" customHeight="1">
      <c r="A123" s="46" t="s">
        <v>156</v>
      </c>
      <c r="B123" s="133" t="s">
        <v>345</v>
      </c>
      <c r="C123" s="48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55"/>
      <c r="D124" s="56"/>
      <c r="E124" s="56"/>
      <c r="F124" s="56"/>
      <c r="G124" s="56"/>
      <c r="H124" s="56"/>
      <c r="I124" s="67"/>
      <c r="J124" s="83">
        <f t="shared" si="33"/>
        <v>0</v>
      </c>
      <c r="K124" s="84">
        <f t="shared" si="34"/>
        <v>0</v>
      </c>
    </row>
    <row r="125" spans="1:11" ht="12" customHeight="1">
      <c r="A125" s="46" t="s">
        <v>160</v>
      </c>
      <c r="B125" s="133" t="s">
        <v>347</v>
      </c>
      <c r="C125" s="136"/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0</v>
      </c>
    </row>
    <row r="126" spans="1:11" ht="12" customHeight="1">
      <c r="A126" s="46" t="s">
        <v>162</v>
      </c>
      <c r="B126" s="59" t="s">
        <v>348</v>
      </c>
      <c r="C126" s="136">
        <v>3000000</v>
      </c>
      <c r="D126" s="56"/>
      <c r="E126" s="56"/>
      <c r="F126" s="56"/>
      <c r="G126" s="56"/>
      <c r="H126" s="56"/>
      <c r="I126" s="67"/>
      <c r="J126" s="83">
        <f t="shared" si="33"/>
        <v>0</v>
      </c>
      <c r="K126" s="84">
        <f t="shared" si="34"/>
        <v>3000000</v>
      </c>
    </row>
    <row r="127" spans="1:11" ht="12" customHeight="1">
      <c r="A127" s="46" t="s">
        <v>164</v>
      </c>
      <c r="B127" s="57" t="s">
        <v>349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136"/>
      <c r="D132" s="56"/>
      <c r="E132" s="56"/>
      <c r="F132" s="56"/>
      <c r="G132" s="56"/>
      <c r="H132" s="56"/>
      <c r="I132" s="67"/>
      <c r="J132" s="83">
        <f t="shared" si="33"/>
        <v>0</v>
      </c>
      <c r="K132" s="84">
        <f t="shared" si="34"/>
        <v>0</v>
      </c>
    </row>
    <row r="133" spans="1:11" ht="12" customHeight="1">
      <c r="A133" s="46" t="s">
        <v>358</v>
      </c>
      <c r="B133" s="129" t="s">
        <v>359</v>
      </c>
      <c r="C133" s="136">
        <v>3000000</v>
      </c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3000000</v>
      </c>
    </row>
    <row r="134" spans="1:11" ht="22.5">
      <c r="A134" s="130" t="s">
        <v>360</v>
      </c>
      <c r="B134" s="129" t="s">
        <v>361</v>
      </c>
      <c r="C134" s="138"/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0</v>
      </c>
    </row>
    <row r="135" spans="1:11" ht="12" customHeight="1">
      <c r="A135" s="39" t="s">
        <v>166</v>
      </c>
      <c r="B135" s="40" t="s">
        <v>362</v>
      </c>
      <c r="C135" s="41">
        <f>+C100+C121</f>
        <v>51593552</v>
      </c>
      <c r="D135" s="42">
        <f aca="true" t="shared" si="35" ref="D135:K135">+D100+D121</f>
        <v>23340852</v>
      </c>
      <c r="E135" s="42">
        <f t="shared" si="35"/>
        <v>1357433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24698285</v>
      </c>
      <c r="K135" s="44">
        <f t="shared" si="35"/>
        <v>76291837</v>
      </c>
    </row>
    <row r="136" spans="1:11" ht="12" customHeight="1">
      <c r="A136" s="39" t="s">
        <v>363</v>
      </c>
      <c r="B136" s="40" t="s">
        <v>364</v>
      </c>
      <c r="C136" s="41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1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138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140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1">
        <f>+C148+C149+C150+C151</f>
        <v>0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0</v>
      </c>
    </row>
    <row r="148" spans="1:11" ht="12" customHeight="1">
      <c r="A148" s="46" t="s">
        <v>222</v>
      </c>
      <c r="B148" s="139" t="s">
        <v>376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136"/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0</v>
      </c>
    </row>
    <row r="150" spans="1:11" ht="12" customHeight="1">
      <c r="A150" s="46" t="s">
        <v>226</v>
      </c>
      <c r="B150" s="139" t="s">
        <v>378</v>
      </c>
      <c r="C150" s="138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140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2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42">
        <f>+C136+C140+C147+C152+C158+C159</f>
        <v>0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0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42">
        <f>+C135+C160</f>
        <v>51593552</v>
      </c>
      <c r="D161" s="153">
        <f aca="true" t="shared" si="45" ref="D161:K161">+D135+D160</f>
        <v>23340852</v>
      </c>
      <c r="E161" s="153">
        <f t="shared" si="45"/>
        <v>1357433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24698285</v>
      </c>
      <c r="K161" s="155">
        <f t="shared" si="45"/>
        <v>76291837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70">
        <f>K93-K161</f>
        <v>-500066</v>
      </c>
    </row>
    <row r="163" spans="1:11" ht="15.75">
      <c r="A163" s="481" t="s">
        <v>395</v>
      </c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</row>
    <row r="164" spans="1:11" ht="15" customHeight="1">
      <c r="A164" s="478" t="s">
        <v>396</v>
      </c>
      <c r="B164" s="4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-30241394</v>
      </c>
      <c r="D165" s="43">
        <f aca="true" t="shared" si="46" ref="D165:K165">+D68-D135</f>
        <v>-156321</v>
      </c>
      <c r="E165" s="43">
        <f t="shared" si="46"/>
        <v>-1357433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-1513754</v>
      </c>
      <c r="K165" s="44">
        <f t="shared" si="46"/>
        <v>-31755148</v>
      </c>
    </row>
    <row r="166" spans="1:11" ht="32.25" customHeight="1">
      <c r="A166" s="39" t="s">
        <v>152</v>
      </c>
      <c r="B166" s="164" t="s">
        <v>398</v>
      </c>
      <c r="C166" s="43">
        <f>+C92-C160</f>
        <v>30241394</v>
      </c>
      <c r="D166" s="43">
        <f aca="true" t="shared" si="47" ref="D166:K166">+D92-D160</f>
        <v>13688</v>
      </c>
      <c r="E166" s="43">
        <f t="shared" si="47"/>
        <v>1000000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1013688</v>
      </c>
      <c r="K166" s="44">
        <f t="shared" si="47"/>
        <v>31255082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71" t="str">
        <f>CONCATENATE("1.4. melléklet ",RM_ALAPADATOK!A7," ",RM_ALAPADATOK!B7," ",RM_ALAPADATOK!C7," ",RM_ALAPADATOK!D7," ",RM_ALAPADATOK!E7," ",RM_ALAPADATOK!F7," ",RM_ALAPADATOK!G7," ",RM_ALAPADATOK!H7)</f>
        <v>1.4. melléklet a  / 2019 (  ) önkormányzati rendelethez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72">
        <f>CONCATENATE(RM_ALAPADATOK!A4)</f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5.75">
      <c r="A4" s="472" t="s">
        <v>401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73" t="s">
        <v>114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</row>
    <row r="7" spans="1:11" ht="15.75" customHeight="1">
      <c r="A7" s="474" t="s">
        <v>115</v>
      </c>
      <c r="B7" s="4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75" t="s">
        <v>117</v>
      </c>
      <c r="B8" s="476" t="s">
        <v>118</v>
      </c>
      <c r="C8" s="477" t="str">
        <f>+CONCATENATE(LEFT(RM_ÖSSZEFÜGGÉSEK!A6,4),". évi")</f>
        <v>2019. évi</v>
      </c>
      <c r="D8" s="477"/>
      <c r="E8" s="477"/>
      <c r="F8" s="477"/>
      <c r="G8" s="477"/>
      <c r="H8" s="477"/>
      <c r="I8" s="477"/>
      <c r="J8" s="477"/>
      <c r="K8" s="477"/>
    </row>
    <row r="9" spans="1:11" ht="36" customHeight="1">
      <c r="A9" s="475"/>
      <c r="B9" s="476"/>
      <c r="C9" s="29" t="s">
        <v>119</v>
      </c>
      <c r="D9" s="30" t="str">
        <f>CONCATENATE('RM_1.3.sz.mell.'!D98)</f>
        <v>1. sz. módosítás </v>
      </c>
      <c r="E9" s="30" t="str">
        <f>CONCATENATE('RM_1.3.sz.mell.'!E98)</f>
        <v>2. sz. módosítás </v>
      </c>
      <c r="F9" s="30" t="str">
        <f>CONCATENATE('RM_1.3.sz.mell.'!F98)</f>
        <v>3. sz. módosítás </v>
      </c>
      <c r="G9" s="30" t="str">
        <f>CONCATENATE('RM_1.3.sz.mell.'!G98)</f>
        <v>4. sz. módosítás </v>
      </c>
      <c r="H9" s="30" t="str">
        <f>CONCATENATE('RM_1.3.sz.mell.'!H98)</f>
        <v>.5. sz. módosítás </v>
      </c>
      <c r="I9" s="30" t="str">
        <f>CONCATENATE('RM_1.3.sz.mell.'!I98)</f>
        <v>6. sz. módosítás </v>
      </c>
      <c r="J9" s="31" t="s">
        <v>126</v>
      </c>
      <c r="K9" s="32" t="str">
        <f>CONCATENATE('RM_1.3.sz.mell.'!K98)</f>
        <v>2.számú módosítás utáni előirányzat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3">
        <f>+C12+C13+C14+C15+C16+C17</f>
        <v>0</v>
      </c>
      <c r="D11" s="43">
        <f aca="true" t="shared" si="0" ref="D11:K11">+D12+D13+D14+D15+D16+D17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4">
        <f t="shared" si="0"/>
        <v>0</v>
      </c>
    </row>
    <row r="12" spans="1:11" s="45" customFormat="1" ht="12" customHeight="1">
      <c r="A12" s="46" t="s">
        <v>140</v>
      </c>
      <c r="B12" s="47" t="s">
        <v>141</v>
      </c>
      <c r="C12" s="50"/>
      <c r="D12" s="50"/>
      <c r="E12" s="50"/>
      <c r="F12" s="50"/>
      <c r="G12" s="50"/>
      <c r="H12" s="50"/>
      <c r="I12" s="50"/>
      <c r="J12" s="51">
        <f aca="true" t="shared" si="1" ref="J12:J17">D12+E12+F12+G12+H12+I12</f>
        <v>0</v>
      </c>
      <c r="K12" s="52">
        <f aca="true" t="shared" si="2" ref="K12:K17">C12+J12</f>
        <v>0</v>
      </c>
    </row>
    <row r="13" spans="1:11" s="45" customFormat="1" ht="12" customHeight="1">
      <c r="A13" s="53" t="s">
        <v>142</v>
      </c>
      <c r="B13" s="54" t="s">
        <v>143</v>
      </c>
      <c r="C13" s="67"/>
      <c r="D13" s="67"/>
      <c r="E13" s="50"/>
      <c r="F13" s="50"/>
      <c r="G13" s="50"/>
      <c r="H13" s="50"/>
      <c r="I13" s="50"/>
      <c r="J13" s="51">
        <f t="shared" si="1"/>
        <v>0</v>
      </c>
      <c r="K13" s="52">
        <f t="shared" si="2"/>
        <v>0</v>
      </c>
    </row>
    <row r="14" spans="1:11" s="45" customFormat="1" ht="12" customHeight="1">
      <c r="A14" s="53" t="s">
        <v>144</v>
      </c>
      <c r="B14" s="54" t="s">
        <v>145</v>
      </c>
      <c r="C14" s="67"/>
      <c r="D14" s="67"/>
      <c r="E14" s="50"/>
      <c r="F14" s="50"/>
      <c r="G14" s="50"/>
      <c r="H14" s="50"/>
      <c r="I14" s="50"/>
      <c r="J14" s="51">
        <f t="shared" si="1"/>
        <v>0</v>
      </c>
      <c r="K14" s="52">
        <f t="shared" si="2"/>
        <v>0</v>
      </c>
    </row>
    <row r="15" spans="1:11" s="45" customFormat="1" ht="12" customHeight="1">
      <c r="A15" s="53" t="s">
        <v>146</v>
      </c>
      <c r="B15" s="54" t="s">
        <v>147</v>
      </c>
      <c r="C15" s="67"/>
      <c r="D15" s="67"/>
      <c r="E15" s="50"/>
      <c r="F15" s="50"/>
      <c r="G15" s="50"/>
      <c r="H15" s="50"/>
      <c r="I15" s="50"/>
      <c r="J15" s="51">
        <f t="shared" si="1"/>
        <v>0</v>
      </c>
      <c r="K15" s="52">
        <f t="shared" si="2"/>
        <v>0</v>
      </c>
    </row>
    <row r="16" spans="1:11" s="45" customFormat="1" ht="12" customHeight="1">
      <c r="A16" s="53" t="s">
        <v>148</v>
      </c>
      <c r="B16" s="57" t="s">
        <v>149</v>
      </c>
      <c r="C16" s="67"/>
      <c r="D16" s="67"/>
      <c r="E16" s="50"/>
      <c r="F16" s="50"/>
      <c r="G16" s="50"/>
      <c r="H16" s="50"/>
      <c r="I16" s="50"/>
      <c r="J16" s="51">
        <f t="shared" si="1"/>
        <v>0</v>
      </c>
      <c r="K16" s="52">
        <f t="shared" si="2"/>
        <v>0</v>
      </c>
    </row>
    <row r="17" spans="1:11" s="45" customFormat="1" ht="12" customHeight="1">
      <c r="A17" s="58" t="s">
        <v>150</v>
      </c>
      <c r="B17" s="59" t="s">
        <v>151</v>
      </c>
      <c r="C17" s="67"/>
      <c r="D17" s="67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3">
        <f>+C19+C20+C21+C22+C23</f>
        <v>0</v>
      </c>
      <c r="D18" s="43">
        <f aca="true" t="shared" si="3" ref="D18:K18">+D19+D20+D21+D22+D23</f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4">
        <f t="shared" si="3"/>
        <v>0</v>
      </c>
    </row>
    <row r="19" spans="1:11" s="45" customFormat="1" ht="12" customHeight="1">
      <c r="A19" s="46" t="s">
        <v>154</v>
      </c>
      <c r="B19" s="47" t="s">
        <v>155</v>
      </c>
      <c r="C19" s="50"/>
      <c r="D19" s="50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67"/>
      <c r="D20" s="67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67"/>
      <c r="D21" s="67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67"/>
      <c r="D22" s="67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67"/>
      <c r="D23" s="67"/>
      <c r="E23" s="50"/>
      <c r="F23" s="50"/>
      <c r="G23" s="50"/>
      <c r="H23" s="50"/>
      <c r="I23" s="50"/>
      <c r="J23" s="51">
        <f t="shared" si="4"/>
        <v>0</v>
      </c>
      <c r="K23" s="52">
        <f t="shared" si="5"/>
        <v>0</v>
      </c>
    </row>
    <row r="24" spans="1:11" s="45" customFormat="1" ht="12" customHeight="1">
      <c r="A24" s="58" t="s">
        <v>164</v>
      </c>
      <c r="B24" s="59" t="s">
        <v>165</v>
      </c>
      <c r="C24" s="69"/>
      <c r="D24" s="69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166</v>
      </c>
      <c r="B25" s="40" t="s">
        <v>167</v>
      </c>
      <c r="C25" s="43">
        <f>+C26+C27+C28+C29+C30</f>
        <v>0</v>
      </c>
      <c r="D25" s="43">
        <f aca="true" t="shared" si="6" ref="D25:K25">+D26+D27+D28+D29+D30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4">
        <f t="shared" si="6"/>
        <v>0</v>
      </c>
    </row>
    <row r="26" spans="1:11" s="45" customFormat="1" ht="12" customHeight="1">
      <c r="A26" s="46" t="s">
        <v>168</v>
      </c>
      <c r="B26" s="47" t="s">
        <v>169</v>
      </c>
      <c r="C26" s="50"/>
      <c r="D26" s="50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0</v>
      </c>
    </row>
    <row r="27" spans="1:11" s="45" customFormat="1" ht="12" customHeight="1">
      <c r="A27" s="53" t="s">
        <v>170</v>
      </c>
      <c r="B27" s="54" t="s">
        <v>171</v>
      </c>
      <c r="C27" s="67"/>
      <c r="D27" s="67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67"/>
      <c r="D28" s="67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67"/>
      <c r="D29" s="67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67"/>
      <c r="D30" s="67"/>
      <c r="E30" s="50"/>
      <c r="F30" s="50"/>
      <c r="G30" s="50"/>
      <c r="H30" s="50"/>
      <c r="I30" s="50"/>
      <c r="J30" s="51">
        <f t="shared" si="7"/>
        <v>0</v>
      </c>
      <c r="K30" s="52">
        <f t="shared" si="8"/>
        <v>0</v>
      </c>
    </row>
    <row r="31" spans="1:11" s="45" customFormat="1" ht="12" customHeight="1">
      <c r="A31" s="58" t="s">
        <v>178</v>
      </c>
      <c r="B31" s="64" t="s">
        <v>179</v>
      </c>
      <c r="C31" s="69"/>
      <c r="D31" s="69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3">
        <f>+C33+C34+C35+C36+C37+C38+C39</f>
        <v>0</v>
      </c>
      <c r="D32" s="43">
        <f aca="true" t="shared" si="9" ref="D32:K32">+D33+D34+D35+D36+D37+D38+D39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0</v>
      </c>
    </row>
    <row r="33" spans="1:11" s="45" customFormat="1" ht="12" customHeight="1">
      <c r="A33" s="46" t="s">
        <v>182</v>
      </c>
      <c r="B33" s="47" t="s">
        <v>183</v>
      </c>
      <c r="C33" s="51"/>
      <c r="D33" s="51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0</v>
      </c>
    </row>
    <row r="34" spans="1:11" s="45" customFormat="1" ht="12" customHeight="1">
      <c r="A34" s="53" t="s">
        <v>184</v>
      </c>
      <c r="B34" s="54" t="s">
        <v>185</v>
      </c>
      <c r="C34" s="67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67"/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0</v>
      </c>
    </row>
    <row r="36" spans="1:11" s="45" customFormat="1" ht="12" customHeight="1">
      <c r="A36" s="53" t="s">
        <v>188</v>
      </c>
      <c r="B36" s="54" t="s">
        <v>189</v>
      </c>
      <c r="C36" s="67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67"/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0</v>
      </c>
    </row>
    <row r="38" spans="1:11" s="45" customFormat="1" ht="12" customHeight="1">
      <c r="A38" s="53" t="s">
        <v>192</v>
      </c>
      <c r="B38" s="54" t="s">
        <v>193</v>
      </c>
      <c r="C38" s="67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9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3">
        <f>SUM(C41:C51)</f>
        <v>0</v>
      </c>
      <c r="D40" s="43">
        <f aca="true" t="shared" si="12" ref="D40:K40">SUM(D41:D51)</f>
        <v>0</v>
      </c>
      <c r="E40" s="43">
        <f t="shared" si="12"/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0</v>
      </c>
    </row>
    <row r="41" spans="1:11" s="45" customFormat="1" ht="12" customHeight="1">
      <c r="A41" s="46" t="s">
        <v>198</v>
      </c>
      <c r="B41" s="47" t="s">
        <v>199</v>
      </c>
      <c r="C41" s="50"/>
      <c r="D41" s="50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0</v>
      </c>
    </row>
    <row r="42" spans="1:11" s="45" customFormat="1" ht="12" customHeight="1">
      <c r="A42" s="53" t="s">
        <v>200</v>
      </c>
      <c r="B42" s="54" t="s">
        <v>201</v>
      </c>
      <c r="C42" s="67"/>
      <c r="D42" s="67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0</v>
      </c>
    </row>
    <row r="43" spans="1:11" s="45" customFormat="1" ht="12" customHeight="1">
      <c r="A43" s="53" t="s">
        <v>202</v>
      </c>
      <c r="B43" s="54" t="s">
        <v>203</v>
      </c>
      <c r="C43" s="67"/>
      <c r="D43" s="67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0</v>
      </c>
    </row>
    <row r="44" spans="1:11" s="45" customFormat="1" ht="12" customHeight="1">
      <c r="A44" s="53" t="s">
        <v>204</v>
      </c>
      <c r="B44" s="54" t="s">
        <v>205</v>
      </c>
      <c r="C44" s="67"/>
      <c r="D44" s="67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0</v>
      </c>
    </row>
    <row r="45" spans="1:11" s="45" customFormat="1" ht="12" customHeight="1">
      <c r="A45" s="53" t="s">
        <v>206</v>
      </c>
      <c r="B45" s="54" t="s">
        <v>207</v>
      </c>
      <c r="C45" s="67"/>
      <c r="D45" s="67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0</v>
      </c>
    </row>
    <row r="46" spans="1:11" s="45" customFormat="1" ht="12" customHeight="1">
      <c r="A46" s="53" t="s">
        <v>208</v>
      </c>
      <c r="B46" s="54" t="s">
        <v>209</v>
      </c>
      <c r="C46" s="67"/>
      <c r="D46" s="67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0</v>
      </c>
    </row>
    <row r="47" spans="1:11" s="45" customFormat="1" ht="12" customHeight="1">
      <c r="A47" s="53" t="s">
        <v>210</v>
      </c>
      <c r="B47" s="54" t="s">
        <v>211</v>
      </c>
      <c r="C47" s="67"/>
      <c r="D47" s="67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67"/>
      <c r="D48" s="67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67"/>
      <c r="D49" s="67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9"/>
      <c r="D50" s="69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74"/>
      <c r="D51" s="74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0</v>
      </c>
    </row>
    <row r="52" spans="1:11" s="45" customFormat="1" ht="12" customHeight="1">
      <c r="A52" s="39" t="s">
        <v>220</v>
      </c>
      <c r="B52" s="40" t="s">
        <v>221</v>
      </c>
      <c r="C52" s="43">
        <f>SUM(C53:C57)</f>
        <v>0</v>
      </c>
      <c r="D52" s="43">
        <f aca="true" t="shared" si="15" ref="D52:K52">SUM(D53:D57)</f>
        <v>0</v>
      </c>
      <c r="E52" s="43">
        <f t="shared" si="15"/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50"/>
      <c r="D53" s="50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67"/>
      <c r="D54" s="67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67"/>
      <c r="D55" s="67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67"/>
      <c r="D56" s="67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9"/>
      <c r="D57" s="69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3">
        <f>SUM(C59:C61)</f>
        <v>0</v>
      </c>
      <c r="D58" s="43">
        <f aca="true" t="shared" si="16" ref="D58:K58">SUM(D59:D61)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50"/>
      <c r="D59" s="50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67"/>
      <c r="D60" s="67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67"/>
      <c r="D61" s="67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9"/>
      <c r="D62" s="69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3">
        <f>SUM(C64:C66)</f>
        <v>0</v>
      </c>
      <c r="D63" s="43">
        <f aca="true" t="shared" si="17" ref="D63:K63">SUM(D64:D66)</f>
        <v>0</v>
      </c>
      <c r="E63" s="43">
        <f t="shared" si="17"/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0</v>
      </c>
    </row>
    <row r="64" spans="1:11" s="45" customFormat="1" ht="12" customHeight="1">
      <c r="A64" s="46" t="s">
        <v>244</v>
      </c>
      <c r="B64" s="47" t="s">
        <v>245</v>
      </c>
      <c r="C64" s="67"/>
      <c r="D64" s="67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67"/>
      <c r="D65" s="67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67"/>
      <c r="D66" s="67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0</v>
      </c>
    </row>
    <row r="67" spans="1:11" s="45" customFormat="1" ht="12" customHeight="1">
      <c r="A67" s="58" t="s">
        <v>250</v>
      </c>
      <c r="B67" s="59" t="s">
        <v>251</v>
      </c>
      <c r="C67" s="67"/>
      <c r="D67" s="67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3">
        <f>+C11+C18+C25+C32+C40+C52+C58+C63</f>
        <v>0</v>
      </c>
      <c r="D68" s="43">
        <f aca="true" t="shared" si="18" ref="D68:K68">+D11+D18+D25+D32+D40+D52+D58+D63</f>
        <v>0</v>
      </c>
      <c r="E68" s="43">
        <f t="shared" si="18"/>
        <v>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0</v>
      </c>
      <c r="K68" s="44">
        <f t="shared" si="18"/>
        <v>0</v>
      </c>
    </row>
    <row r="69" spans="1:11" s="45" customFormat="1" ht="12" customHeight="1">
      <c r="A69" s="86" t="s">
        <v>254</v>
      </c>
      <c r="B69" s="60" t="s">
        <v>255</v>
      </c>
      <c r="C69" s="43">
        <f>SUM(C70:C72)</f>
        <v>0</v>
      </c>
      <c r="D69" s="43">
        <f aca="true" t="shared" si="19" ref="D69:K69">SUM(D70:D72)</f>
        <v>0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67"/>
      <c r="D70" s="67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67"/>
      <c r="D71" s="67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260</v>
      </c>
      <c r="B72" s="166" t="s">
        <v>261</v>
      </c>
      <c r="C72" s="74"/>
      <c r="D72" s="74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3">
        <f>SUM(C74:C77)</f>
        <v>0</v>
      </c>
      <c r="D73" s="43">
        <f aca="true" t="shared" si="20" ref="D73:K73">SUM(D74:D77)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67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8" t="s">
        <v>267</v>
      </c>
      <c r="C75" s="67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8" t="s">
        <v>269</v>
      </c>
      <c r="C76" s="67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270</v>
      </c>
      <c r="B77" s="167" t="s">
        <v>271</v>
      </c>
      <c r="C77" s="67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272</v>
      </c>
      <c r="B78" s="60" t="s">
        <v>273</v>
      </c>
      <c r="C78" s="43">
        <f>SUM(C79:C80)</f>
        <v>0</v>
      </c>
      <c r="D78" s="43">
        <f aca="true" t="shared" si="21" ref="D78:K78">SUM(D79:D80)</f>
        <v>0</v>
      </c>
      <c r="E78" s="43">
        <f t="shared" si="21"/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0</v>
      </c>
      <c r="K78" s="44">
        <f t="shared" si="21"/>
        <v>0</v>
      </c>
    </row>
    <row r="79" spans="1:11" s="45" customFormat="1" ht="12" customHeight="1">
      <c r="A79" s="46" t="s">
        <v>274</v>
      </c>
      <c r="B79" s="47" t="s">
        <v>275</v>
      </c>
      <c r="C79" s="67"/>
      <c r="D79" s="67"/>
      <c r="E79" s="67"/>
      <c r="F79" s="67"/>
      <c r="G79" s="67"/>
      <c r="H79" s="67"/>
      <c r="I79" s="67"/>
      <c r="J79" s="83">
        <f>D79+E79+F79+G79+H79+I79</f>
        <v>0</v>
      </c>
      <c r="K79" s="84">
        <f>C79+J79</f>
        <v>0</v>
      </c>
    </row>
    <row r="80" spans="1:11" s="45" customFormat="1" ht="12" customHeight="1">
      <c r="A80" s="58" t="s">
        <v>276</v>
      </c>
      <c r="B80" s="59" t="s">
        <v>277</v>
      </c>
      <c r="C80" s="67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3">
        <f>SUM(C82:C84)</f>
        <v>0</v>
      </c>
      <c r="D81" s="43">
        <f aca="true" t="shared" si="22" ref="D81:K81">SUM(D82:D84)</f>
        <v>0</v>
      </c>
      <c r="E81" s="43">
        <f t="shared" si="22"/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67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67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67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3">
        <f>SUM(C86:C89)</f>
        <v>0</v>
      </c>
      <c r="D85" s="43">
        <f aca="true" t="shared" si="23" ref="D85:K85">SUM(D86:D89)</f>
        <v>0</v>
      </c>
      <c r="E85" s="43">
        <f t="shared" si="23"/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67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67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67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67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100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100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300</v>
      </c>
      <c r="B92" s="60" t="s">
        <v>301</v>
      </c>
      <c r="C92" s="43">
        <f>+C69+C73+C78+C81+C85+C91+C90</f>
        <v>0</v>
      </c>
      <c r="D92" s="43">
        <f aca="true" t="shared" si="26" ref="D92:K92">+D69+D73+D78+D81+D85+D91+D90</f>
        <v>0</v>
      </c>
      <c r="E92" s="43">
        <f t="shared" si="26"/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0</v>
      </c>
      <c r="K92" s="44">
        <f t="shared" si="26"/>
        <v>0</v>
      </c>
    </row>
    <row r="93" spans="1:11" s="45" customFormat="1" ht="25.5" customHeight="1">
      <c r="A93" s="91" t="s">
        <v>302</v>
      </c>
      <c r="B93" s="92" t="s">
        <v>303</v>
      </c>
      <c r="C93" s="43">
        <f>+C68+C92</f>
        <v>0</v>
      </c>
      <c r="D93" s="43">
        <f aca="true" t="shared" si="27" ref="D93:K93">+D68+D92</f>
        <v>0</v>
      </c>
      <c r="E93" s="43">
        <f t="shared" si="27"/>
        <v>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0</v>
      </c>
      <c r="K93" s="44">
        <f t="shared" si="27"/>
        <v>0</v>
      </c>
    </row>
    <row r="94" spans="1:3" s="45" customFormat="1" ht="30.75" customHeight="1">
      <c r="A94" s="101"/>
      <c r="B94" s="102"/>
      <c r="C94" s="103"/>
    </row>
    <row r="95" spans="1:11" ht="16.5" customHeight="1">
      <c r="A95" s="479" t="s">
        <v>304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</row>
    <row r="96" spans="1:11" s="105" customFormat="1" ht="16.5" customHeight="1">
      <c r="A96" s="480" t="s">
        <v>305</v>
      </c>
      <c r="B96" s="480"/>
      <c r="C96" s="104"/>
      <c r="K96" s="104" t="str">
        <f>K7</f>
        <v>Forintban!</v>
      </c>
    </row>
    <row r="97" spans="1:11" ht="12.75" customHeight="1">
      <c r="A97" s="475" t="s">
        <v>117</v>
      </c>
      <c r="B97" s="476" t="s">
        <v>306</v>
      </c>
      <c r="C97" s="477" t="str">
        <f>+CONCATENATE(LEFT(RM_ÖSSZEFÜGGÉSEK!A6,4),". évi")</f>
        <v>2019. évi</v>
      </c>
      <c r="D97" s="477"/>
      <c r="E97" s="477"/>
      <c r="F97" s="477"/>
      <c r="G97" s="477"/>
      <c r="H97" s="477"/>
      <c r="I97" s="477"/>
      <c r="J97" s="477"/>
      <c r="K97" s="477"/>
    </row>
    <row r="98" spans="1:11" ht="48">
      <c r="A98" s="475"/>
      <c r="B98" s="476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.5. sz. módosítás </v>
      </c>
      <c r="I98" s="30" t="str">
        <f t="shared" si="28"/>
        <v>6. sz. módosítás </v>
      </c>
      <c r="J98" s="31" t="s">
        <v>126</v>
      </c>
      <c r="K98" s="32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5">
        <f>C101+C102+C103+C104+C105+C118</f>
        <v>0</v>
      </c>
      <c r="D100" s="115">
        <f aca="true" t="shared" si="29" ref="D100:K100">D101+D102+D103+D104+D105+D118</f>
        <v>0</v>
      </c>
      <c r="E100" s="115">
        <f t="shared" si="29"/>
        <v>0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0</v>
      </c>
      <c r="K100" s="116">
        <f t="shared" si="29"/>
        <v>0</v>
      </c>
    </row>
    <row r="101" spans="1:11" ht="12" customHeight="1">
      <c r="A101" s="117" t="s">
        <v>140</v>
      </c>
      <c r="B101" s="118" t="s">
        <v>308</v>
      </c>
      <c r="C101" s="173"/>
      <c r="D101" s="119"/>
      <c r="E101" s="119"/>
      <c r="F101" s="119"/>
      <c r="G101" s="119"/>
      <c r="H101" s="119"/>
      <c r="I101" s="119"/>
      <c r="J101" s="120">
        <f aca="true" t="shared" si="30" ref="J101:J120">D101+E101+F101+G101+H101+I101</f>
        <v>0</v>
      </c>
      <c r="K101" s="121">
        <f aca="true" t="shared" si="31" ref="K101:K120">C101+J101</f>
        <v>0</v>
      </c>
    </row>
    <row r="102" spans="1:11" ht="12" customHeight="1">
      <c r="A102" s="53" t="s">
        <v>142</v>
      </c>
      <c r="B102" s="122" t="s">
        <v>309</v>
      </c>
      <c r="C102" s="67"/>
      <c r="D102" s="67"/>
      <c r="E102" s="67"/>
      <c r="F102" s="67"/>
      <c r="G102" s="67"/>
      <c r="H102" s="67"/>
      <c r="I102" s="67"/>
      <c r="J102" s="83">
        <f t="shared" si="30"/>
        <v>0</v>
      </c>
      <c r="K102" s="84">
        <f t="shared" si="31"/>
        <v>0</v>
      </c>
    </row>
    <row r="103" spans="1:11" ht="12" customHeight="1">
      <c r="A103" s="53" t="s">
        <v>144</v>
      </c>
      <c r="B103" s="122" t="s">
        <v>310</v>
      </c>
      <c r="C103" s="69"/>
      <c r="D103" s="69"/>
      <c r="E103" s="69"/>
      <c r="F103" s="69"/>
      <c r="G103" s="69"/>
      <c r="H103" s="69"/>
      <c r="I103" s="69"/>
      <c r="J103" s="123">
        <f t="shared" si="30"/>
        <v>0</v>
      </c>
      <c r="K103" s="124">
        <f t="shared" si="31"/>
        <v>0</v>
      </c>
    </row>
    <row r="104" spans="1:11" ht="12" customHeight="1">
      <c r="A104" s="53" t="s">
        <v>146</v>
      </c>
      <c r="B104" s="125" t="s">
        <v>311</v>
      </c>
      <c r="C104" s="69"/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0</v>
      </c>
    </row>
    <row r="105" spans="1:11" ht="12" customHeight="1">
      <c r="A105" s="53" t="s">
        <v>312</v>
      </c>
      <c r="B105" s="126" t="s">
        <v>313</v>
      </c>
      <c r="C105" s="69"/>
      <c r="D105" s="69"/>
      <c r="E105" s="69"/>
      <c r="F105" s="69"/>
      <c r="G105" s="69"/>
      <c r="H105" s="69"/>
      <c r="I105" s="69"/>
      <c r="J105" s="123">
        <f t="shared" si="30"/>
        <v>0</v>
      </c>
      <c r="K105" s="124">
        <f t="shared" si="31"/>
        <v>0</v>
      </c>
    </row>
    <row r="106" spans="1:11" ht="12" customHeight="1">
      <c r="A106" s="53" t="s">
        <v>150</v>
      </c>
      <c r="B106" s="122" t="s">
        <v>314</v>
      </c>
      <c r="C106" s="69"/>
      <c r="D106" s="69"/>
      <c r="E106" s="69"/>
      <c r="F106" s="69"/>
      <c r="G106" s="69"/>
      <c r="H106" s="69"/>
      <c r="I106" s="69"/>
      <c r="J106" s="123">
        <f t="shared" si="30"/>
        <v>0</v>
      </c>
      <c r="K106" s="124">
        <f t="shared" si="31"/>
        <v>0</v>
      </c>
    </row>
    <row r="107" spans="1:11" ht="12" customHeight="1">
      <c r="A107" s="53" t="s">
        <v>315</v>
      </c>
      <c r="B107" s="127" t="s">
        <v>316</v>
      </c>
      <c r="C107" s="69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9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9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9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323</v>
      </c>
      <c r="B111" s="129" t="s">
        <v>324</v>
      </c>
      <c r="C111" s="69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325</v>
      </c>
      <c r="B112" s="128" t="s">
        <v>326</v>
      </c>
      <c r="C112" s="69"/>
      <c r="D112" s="69"/>
      <c r="E112" s="69"/>
      <c r="F112" s="69"/>
      <c r="G112" s="69"/>
      <c r="H112" s="69"/>
      <c r="I112" s="69"/>
      <c r="J112" s="123">
        <f t="shared" si="30"/>
        <v>0</v>
      </c>
      <c r="K112" s="124">
        <f t="shared" si="31"/>
        <v>0</v>
      </c>
    </row>
    <row r="113" spans="1:11" ht="12" customHeight="1">
      <c r="A113" s="53" t="s">
        <v>327</v>
      </c>
      <c r="B113" s="128" t="s">
        <v>328</v>
      </c>
      <c r="C113" s="69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9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9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9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9"/>
      <c r="D117" s="69"/>
      <c r="E117" s="69"/>
      <c r="F117" s="69"/>
      <c r="G117" s="69"/>
      <c r="H117" s="69"/>
      <c r="I117" s="69"/>
      <c r="J117" s="123">
        <f t="shared" si="30"/>
        <v>0</v>
      </c>
      <c r="K117" s="124">
        <f t="shared" si="31"/>
        <v>0</v>
      </c>
    </row>
    <row r="118" spans="1:11" ht="12" customHeight="1">
      <c r="A118" s="53" t="s">
        <v>337</v>
      </c>
      <c r="B118" s="125" t="s">
        <v>338</v>
      </c>
      <c r="C118" s="67"/>
      <c r="D118" s="67"/>
      <c r="E118" s="67"/>
      <c r="F118" s="67"/>
      <c r="G118" s="67"/>
      <c r="H118" s="67"/>
      <c r="I118" s="67"/>
      <c r="J118" s="83">
        <f t="shared" si="30"/>
        <v>0</v>
      </c>
      <c r="K118" s="84">
        <f t="shared" si="31"/>
        <v>0</v>
      </c>
    </row>
    <row r="119" spans="1:11" ht="12" customHeight="1">
      <c r="A119" s="53" t="s">
        <v>339</v>
      </c>
      <c r="B119" s="122" t="s">
        <v>340</v>
      </c>
      <c r="C119" s="67"/>
      <c r="D119" s="67"/>
      <c r="E119" s="67"/>
      <c r="F119" s="67"/>
      <c r="G119" s="67"/>
      <c r="H119" s="67"/>
      <c r="I119" s="67"/>
      <c r="J119" s="83">
        <f t="shared" si="30"/>
        <v>0</v>
      </c>
      <c r="K119" s="84">
        <f t="shared" si="31"/>
        <v>0</v>
      </c>
    </row>
    <row r="120" spans="1:11" ht="12" customHeight="1">
      <c r="A120" s="70" t="s">
        <v>341</v>
      </c>
      <c r="B120" s="131" t="s">
        <v>342</v>
      </c>
      <c r="C120" s="74"/>
      <c r="D120" s="74"/>
      <c r="E120" s="74"/>
      <c r="F120" s="74"/>
      <c r="G120" s="74"/>
      <c r="H120" s="74"/>
      <c r="I120" s="74"/>
      <c r="J120" s="75">
        <f t="shared" si="30"/>
        <v>0</v>
      </c>
      <c r="K120" s="76">
        <f t="shared" si="31"/>
        <v>0</v>
      </c>
    </row>
    <row r="121" spans="1:11" ht="12" customHeight="1">
      <c r="A121" s="77" t="s">
        <v>152</v>
      </c>
      <c r="B121" s="132" t="s">
        <v>343</v>
      </c>
      <c r="C121" s="81">
        <f>+C122+C124+C126</f>
        <v>0</v>
      </c>
      <c r="D121" s="43">
        <f aca="true" t="shared" si="32" ref="D121:K121">+D122+D124+D126</f>
        <v>0</v>
      </c>
      <c r="E121" s="81">
        <f t="shared" si="32"/>
        <v>0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0</v>
      </c>
      <c r="K121" s="82">
        <f t="shared" si="32"/>
        <v>0</v>
      </c>
    </row>
    <row r="122" spans="1:11" ht="12" customHeight="1">
      <c r="A122" s="46" t="s">
        <v>154</v>
      </c>
      <c r="B122" s="122" t="s">
        <v>344</v>
      </c>
      <c r="C122" s="50"/>
      <c r="D122" s="49"/>
      <c r="E122" s="49"/>
      <c r="F122" s="49"/>
      <c r="G122" s="49"/>
      <c r="H122" s="49"/>
      <c r="I122" s="50"/>
      <c r="J122" s="51">
        <f aca="true" t="shared" si="33" ref="J122:J134">D122+E122+F122+G122+H122+I122</f>
        <v>0</v>
      </c>
      <c r="K122" s="52">
        <f aca="true" t="shared" si="34" ref="K122:K134">C122+J122</f>
        <v>0</v>
      </c>
    </row>
    <row r="123" spans="1:11" ht="12" customHeight="1">
      <c r="A123" s="46" t="s">
        <v>156</v>
      </c>
      <c r="B123" s="133" t="s">
        <v>345</v>
      </c>
      <c r="C123" s="50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67"/>
      <c r="D124" s="56"/>
      <c r="E124" s="56"/>
      <c r="F124" s="56"/>
      <c r="G124" s="56"/>
      <c r="H124" s="56"/>
      <c r="I124" s="67"/>
      <c r="J124" s="83">
        <f t="shared" si="33"/>
        <v>0</v>
      </c>
      <c r="K124" s="84">
        <f t="shared" si="34"/>
        <v>0</v>
      </c>
    </row>
    <row r="125" spans="1:11" ht="12" customHeight="1">
      <c r="A125" s="46" t="s">
        <v>160</v>
      </c>
      <c r="B125" s="133" t="s">
        <v>347</v>
      </c>
      <c r="C125" s="67"/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0</v>
      </c>
    </row>
    <row r="126" spans="1:11" ht="12" customHeight="1">
      <c r="A126" s="46" t="s">
        <v>162</v>
      </c>
      <c r="B126" s="59" t="s">
        <v>348</v>
      </c>
      <c r="C126" s="67"/>
      <c r="D126" s="56"/>
      <c r="E126" s="56"/>
      <c r="F126" s="56"/>
      <c r="G126" s="56"/>
      <c r="H126" s="56"/>
      <c r="I126" s="67"/>
      <c r="J126" s="83">
        <f t="shared" si="33"/>
        <v>0</v>
      </c>
      <c r="K126" s="84">
        <f t="shared" si="34"/>
        <v>0</v>
      </c>
    </row>
    <row r="127" spans="1:11" ht="12" customHeight="1">
      <c r="A127" s="46" t="s">
        <v>164</v>
      </c>
      <c r="B127" s="57" t="s">
        <v>349</v>
      </c>
      <c r="C127" s="67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67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67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67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67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67"/>
      <c r="D132" s="56"/>
      <c r="E132" s="56"/>
      <c r="F132" s="56"/>
      <c r="G132" s="56"/>
      <c r="H132" s="56"/>
      <c r="I132" s="67"/>
      <c r="J132" s="83">
        <f t="shared" si="33"/>
        <v>0</v>
      </c>
      <c r="K132" s="84">
        <f t="shared" si="34"/>
        <v>0</v>
      </c>
    </row>
    <row r="133" spans="1:11" ht="12" customHeight="1">
      <c r="A133" s="46" t="s">
        <v>358</v>
      </c>
      <c r="B133" s="129" t="s">
        <v>359</v>
      </c>
      <c r="C133" s="67"/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0</v>
      </c>
    </row>
    <row r="134" spans="1:11" ht="22.5">
      <c r="A134" s="130" t="s">
        <v>360</v>
      </c>
      <c r="B134" s="129" t="s">
        <v>361</v>
      </c>
      <c r="C134" s="69"/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0</v>
      </c>
    </row>
    <row r="135" spans="1:11" ht="12" customHeight="1">
      <c r="A135" s="39" t="s">
        <v>166</v>
      </c>
      <c r="B135" s="40" t="s">
        <v>362</v>
      </c>
      <c r="C135" s="43">
        <f>+C100+C121</f>
        <v>0</v>
      </c>
      <c r="D135" s="42">
        <f aca="true" t="shared" si="35" ref="D135:K135">+D100+D121</f>
        <v>0</v>
      </c>
      <c r="E135" s="42">
        <f t="shared" si="35"/>
        <v>0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0</v>
      </c>
      <c r="K135" s="44">
        <f t="shared" si="35"/>
        <v>0</v>
      </c>
    </row>
    <row r="136" spans="1:11" ht="12" customHeight="1">
      <c r="A136" s="39" t="s">
        <v>363</v>
      </c>
      <c r="B136" s="40" t="s">
        <v>364</v>
      </c>
      <c r="C136" s="43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67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67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67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3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67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67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67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67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67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67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3">
        <f>+C148+C149+C150+C151</f>
        <v>0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0</v>
      </c>
    </row>
    <row r="148" spans="1:11" ht="12" customHeight="1">
      <c r="A148" s="46" t="s">
        <v>222</v>
      </c>
      <c r="B148" s="139" t="s">
        <v>376</v>
      </c>
      <c r="C148" s="67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67"/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0</v>
      </c>
    </row>
    <row r="150" spans="1:11" ht="12" customHeight="1">
      <c r="A150" s="46" t="s">
        <v>226</v>
      </c>
      <c r="B150" s="139" t="s">
        <v>378</v>
      </c>
      <c r="C150" s="67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67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4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67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67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67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67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67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8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8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54">
        <f>+C136+C140+C147+C152+C158+C159</f>
        <v>0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0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54">
        <f>+C135+C160</f>
        <v>0</v>
      </c>
      <c r="D161" s="153">
        <f aca="true" t="shared" si="45" ref="D161:K161">+D135+D160</f>
        <v>0</v>
      </c>
      <c r="E161" s="153">
        <f t="shared" si="45"/>
        <v>0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0</v>
      </c>
      <c r="K161" s="155">
        <f t="shared" si="45"/>
        <v>0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62">
        <f>K93-K161</f>
        <v>0</v>
      </c>
    </row>
    <row r="163" spans="1:11" ht="15.75">
      <c r="A163" s="481" t="s">
        <v>395</v>
      </c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</row>
    <row r="164" spans="1:11" ht="15" customHeight="1">
      <c r="A164" s="478" t="s">
        <v>396</v>
      </c>
      <c r="B164" s="4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0</v>
      </c>
      <c r="D165" s="43">
        <f aca="true" t="shared" si="46" ref="D165:K165">+D68-D135</f>
        <v>0</v>
      </c>
      <c r="E165" s="43">
        <f t="shared" si="46"/>
        <v>0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0</v>
      </c>
      <c r="K165" s="44">
        <f t="shared" si="46"/>
        <v>0</v>
      </c>
    </row>
    <row r="166" spans="1:11" ht="32.25" customHeight="1">
      <c r="A166" s="39" t="s">
        <v>152</v>
      </c>
      <c r="B166" s="164" t="s">
        <v>398</v>
      </c>
      <c r="C166" s="43">
        <f>+C92-C160</f>
        <v>0</v>
      </c>
      <c r="D166" s="43">
        <f aca="true" t="shared" si="47" ref="D166:K166">+D92-D160</f>
        <v>0</v>
      </c>
      <c r="E166" s="43">
        <f t="shared" si="47"/>
        <v>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0</v>
      </c>
      <c r="K166" s="44">
        <f t="shared" si="47"/>
        <v>0</v>
      </c>
    </row>
  </sheetData>
  <sheetProtection sheet="1" objects="1" scenario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/>
  <rowBreaks count="3" manualBreakCount="3">
    <brk id="51" max="255" man="1"/>
    <brk id="93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00" zoomScalePageLayoutView="0" workbookViewId="0" topLeftCell="C1">
      <selection activeCell="K11" sqref="K11"/>
    </sheetView>
  </sheetViews>
  <sheetFormatPr defaultColWidth="9.00390625" defaultRowHeight="12.75"/>
  <cols>
    <col min="1" max="1" width="6.875" style="174" customWidth="1"/>
    <col min="2" max="2" width="48.00390625" style="175" customWidth="1"/>
    <col min="3" max="5" width="15.50390625" style="174" customWidth="1"/>
    <col min="6" max="6" width="55.125" style="174" customWidth="1"/>
    <col min="7" max="9" width="15.50390625" style="174" customWidth="1"/>
    <col min="10" max="10" width="4.875" style="174" customWidth="1"/>
    <col min="11" max="11" width="12.125" style="174" bestFit="1" customWidth="1"/>
    <col min="12" max="16384" width="9.375" style="174" customWidth="1"/>
  </cols>
  <sheetData>
    <row r="1" spans="2:10" ht="39.75" customHeight="1">
      <c r="B1" s="483" t="s">
        <v>402</v>
      </c>
      <c r="C1" s="483"/>
      <c r="D1" s="483"/>
      <c r="E1" s="483"/>
      <c r="F1" s="483"/>
      <c r="G1" s="483"/>
      <c r="H1" s="483"/>
      <c r="I1" s="483"/>
      <c r="J1" s="484" t="str">
        <f>CONCATENATE("2.1. melléklet ",RM_ALAPADATOK!A7," ",RM_ALAPADATOK!B7," ",RM_ALAPADATOK!C7," ",RM_ALAPADATOK!D7," ",RM_ALAPADATOK!E7," ",RM_ALAPADATOK!F7," ",RM_ALAPADATOK!G7," ",RM_ALAPADATOK!H7)</f>
        <v>2.1. melléklet a  / 2019 (  ) önkormányzati rendelethez</v>
      </c>
    </row>
    <row r="2" spans="7:10" ht="13.5">
      <c r="G2" s="176"/>
      <c r="H2" s="176"/>
      <c r="I2" s="176" t="str">
        <f>CONCATENATE('RM_1.1.sz.mell.'!K7)</f>
        <v>Forintban!</v>
      </c>
      <c r="J2" s="484"/>
    </row>
    <row r="3" spans="1:10" ht="18" customHeight="1">
      <c r="A3" s="485" t="s">
        <v>117</v>
      </c>
      <c r="B3" s="486" t="s">
        <v>403</v>
      </c>
      <c r="C3" s="486"/>
      <c r="D3" s="486"/>
      <c r="E3" s="486"/>
      <c r="F3" s="485" t="s">
        <v>404</v>
      </c>
      <c r="G3" s="485"/>
      <c r="H3" s="485"/>
      <c r="I3" s="485"/>
      <c r="J3" s="484"/>
    </row>
    <row r="4" spans="1:10" s="183" customFormat="1" ht="42.75" customHeight="1">
      <c r="A4" s="485"/>
      <c r="B4" s="177" t="s">
        <v>405</v>
      </c>
      <c r="C4" s="178" t="str">
        <f>+CONCATENATE('RM_1.1.sz.mell.'!C8," eredeti előirányzat")</f>
        <v>2019. évi eredeti előirányzat</v>
      </c>
      <c r="D4" s="179" t="s">
        <v>650</v>
      </c>
      <c r="E4" s="179" t="str">
        <f>+CONCATENATE(LEFT('RM_1.1.sz.mell.'!C8,4),".06.30. Módisítás után")</f>
        <v>2019.06.30. Módisítás után</v>
      </c>
      <c r="F4" s="180" t="s">
        <v>405</v>
      </c>
      <c r="G4" s="181" t="str">
        <f>+C4</f>
        <v>2019. évi eredeti előirányzat</v>
      </c>
      <c r="H4" s="181" t="str">
        <f>+D4</f>
        <v>Halmozott módosítás 2019.06.30.-ig</v>
      </c>
      <c r="I4" s="182" t="str">
        <f>+E4</f>
        <v>2019.06.30. Módisítás után</v>
      </c>
      <c r="J4" s="484"/>
    </row>
    <row r="5" spans="1:10" s="189" customFormat="1" ht="12" customHeight="1">
      <c r="A5" s="184" t="s">
        <v>127</v>
      </c>
      <c r="B5" s="185" t="s">
        <v>128</v>
      </c>
      <c r="C5" s="186" t="s">
        <v>129</v>
      </c>
      <c r="D5" s="187" t="s">
        <v>130</v>
      </c>
      <c r="E5" s="187" t="s">
        <v>406</v>
      </c>
      <c r="F5" s="185" t="s">
        <v>407</v>
      </c>
      <c r="G5" s="186" t="s">
        <v>133</v>
      </c>
      <c r="H5" s="186" t="s">
        <v>134</v>
      </c>
      <c r="I5" s="188" t="s">
        <v>408</v>
      </c>
      <c r="J5" s="484"/>
    </row>
    <row r="6" spans="1:10" ht="12.75" customHeight="1">
      <c r="A6" s="190" t="s">
        <v>138</v>
      </c>
      <c r="B6" s="191" t="s">
        <v>409</v>
      </c>
      <c r="C6" s="192">
        <v>413947518</v>
      </c>
      <c r="D6" s="192">
        <v>33867265</v>
      </c>
      <c r="E6" s="193">
        <f>C6+D6</f>
        <v>447814783</v>
      </c>
      <c r="F6" s="191" t="s">
        <v>410</v>
      </c>
      <c r="G6" s="194">
        <v>316868319</v>
      </c>
      <c r="H6" s="192">
        <v>142082289</v>
      </c>
      <c r="I6" s="195">
        <f>G6+H6</f>
        <v>458950608</v>
      </c>
      <c r="J6" s="484"/>
    </row>
    <row r="7" spans="1:10" ht="12.75" customHeight="1">
      <c r="A7" s="196" t="s">
        <v>152</v>
      </c>
      <c r="B7" s="197" t="s">
        <v>411</v>
      </c>
      <c r="C7" s="198">
        <v>22781887</v>
      </c>
      <c r="D7" s="198">
        <v>168208886</v>
      </c>
      <c r="E7" s="193">
        <f aca="true" t="shared" si="0" ref="E7:E16">C7+D7</f>
        <v>190990773</v>
      </c>
      <c r="F7" s="197" t="s">
        <v>309</v>
      </c>
      <c r="G7" s="199">
        <v>58142518</v>
      </c>
      <c r="H7" s="198">
        <v>15179179</v>
      </c>
      <c r="I7" s="195">
        <f aca="true" t="shared" si="1" ref="I7:I17">G7+H7</f>
        <v>73321697</v>
      </c>
      <c r="J7" s="484"/>
    </row>
    <row r="8" spans="1:10" ht="12.75" customHeight="1">
      <c r="A8" s="196" t="s">
        <v>166</v>
      </c>
      <c r="B8" s="197" t="s">
        <v>412</v>
      </c>
      <c r="C8" s="198">
        <v>3139296</v>
      </c>
      <c r="D8" s="198"/>
      <c r="E8" s="193">
        <f t="shared" si="0"/>
        <v>3139296</v>
      </c>
      <c r="F8" s="197" t="s">
        <v>413</v>
      </c>
      <c r="G8" s="199">
        <v>233405483</v>
      </c>
      <c r="H8" s="198">
        <v>38094314</v>
      </c>
      <c r="I8" s="195">
        <f t="shared" si="1"/>
        <v>271499797</v>
      </c>
      <c r="J8" s="484"/>
    </row>
    <row r="9" spans="1:10" ht="12.75" customHeight="1">
      <c r="A9" s="196" t="s">
        <v>363</v>
      </c>
      <c r="B9" s="197" t="s">
        <v>414</v>
      </c>
      <c r="C9" s="198">
        <v>60000000</v>
      </c>
      <c r="D9" s="198"/>
      <c r="E9" s="193">
        <f t="shared" si="0"/>
        <v>60000000</v>
      </c>
      <c r="F9" s="197" t="s">
        <v>311</v>
      </c>
      <c r="G9" s="199">
        <v>26630000</v>
      </c>
      <c r="H9" s="198"/>
      <c r="I9" s="195">
        <f t="shared" si="1"/>
        <v>26630000</v>
      </c>
      <c r="J9" s="484"/>
    </row>
    <row r="10" spans="1:10" ht="12.75" customHeight="1">
      <c r="A10" s="196" t="s">
        <v>196</v>
      </c>
      <c r="B10" s="200" t="s">
        <v>415</v>
      </c>
      <c r="C10" s="198">
        <v>100476086</v>
      </c>
      <c r="D10" s="198"/>
      <c r="E10" s="193">
        <f t="shared" si="0"/>
        <v>100476086</v>
      </c>
      <c r="F10" s="197" t="s">
        <v>313</v>
      </c>
      <c r="G10" s="199">
        <v>11166498</v>
      </c>
      <c r="H10" s="198">
        <v>9273630</v>
      </c>
      <c r="I10" s="195">
        <f t="shared" si="1"/>
        <v>20440128</v>
      </c>
      <c r="J10" s="484"/>
    </row>
    <row r="11" spans="1:10" ht="12.75" customHeight="1">
      <c r="A11" s="196" t="s">
        <v>220</v>
      </c>
      <c r="B11" s="197" t="s">
        <v>416</v>
      </c>
      <c r="C11" s="201"/>
      <c r="D11" s="201"/>
      <c r="E11" s="193">
        <f t="shared" si="0"/>
        <v>0</v>
      </c>
      <c r="F11" s="197" t="s">
        <v>338</v>
      </c>
      <c r="G11" s="199">
        <v>5000000</v>
      </c>
      <c r="H11" s="198">
        <v>143023718</v>
      </c>
      <c r="I11" s="195">
        <f t="shared" si="1"/>
        <v>148023718</v>
      </c>
      <c r="J11" s="484"/>
    </row>
    <row r="12" spans="1:10" ht="12.75" customHeight="1">
      <c r="A12" s="196" t="s">
        <v>380</v>
      </c>
      <c r="B12" s="197" t="s">
        <v>417</v>
      </c>
      <c r="C12" s="198"/>
      <c r="D12" s="198"/>
      <c r="E12" s="193">
        <f t="shared" si="0"/>
        <v>0</v>
      </c>
      <c r="F12" s="202"/>
      <c r="G12" s="199"/>
      <c r="H12" s="198"/>
      <c r="I12" s="195">
        <f t="shared" si="1"/>
        <v>0</v>
      </c>
      <c r="J12" s="484"/>
    </row>
    <row r="13" spans="1:10" ht="12.75" customHeight="1">
      <c r="A13" s="196" t="s">
        <v>242</v>
      </c>
      <c r="B13" s="202"/>
      <c r="C13" s="198"/>
      <c r="D13" s="198"/>
      <c r="E13" s="193">
        <f t="shared" si="0"/>
        <v>0</v>
      </c>
      <c r="F13" s="202"/>
      <c r="G13" s="199"/>
      <c r="H13" s="198"/>
      <c r="I13" s="195">
        <f t="shared" si="1"/>
        <v>0</v>
      </c>
      <c r="J13" s="484"/>
    </row>
    <row r="14" spans="1:10" ht="12.75" customHeight="1">
      <c r="A14" s="196" t="s">
        <v>389</v>
      </c>
      <c r="B14" s="203"/>
      <c r="C14" s="201"/>
      <c r="D14" s="201"/>
      <c r="E14" s="193">
        <f t="shared" si="0"/>
        <v>0</v>
      </c>
      <c r="F14" s="202"/>
      <c r="G14" s="199"/>
      <c r="H14" s="198"/>
      <c r="I14" s="195">
        <f t="shared" si="1"/>
        <v>0</v>
      </c>
      <c r="J14" s="484"/>
    </row>
    <row r="15" spans="1:10" ht="12.75" customHeight="1">
      <c r="A15" s="196" t="s">
        <v>391</v>
      </c>
      <c r="B15" s="202"/>
      <c r="C15" s="198"/>
      <c r="D15" s="198"/>
      <c r="E15" s="193">
        <f t="shared" si="0"/>
        <v>0</v>
      </c>
      <c r="F15" s="202"/>
      <c r="G15" s="199"/>
      <c r="H15" s="198"/>
      <c r="I15" s="195">
        <f t="shared" si="1"/>
        <v>0</v>
      </c>
      <c r="J15" s="484"/>
    </row>
    <row r="16" spans="1:10" ht="12.75" customHeight="1">
      <c r="A16" s="196" t="s">
        <v>393</v>
      </c>
      <c r="B16" s="202"/>
      <c r="C16" s="198"/>
      <c r="D16" s="198"/>
      <c r="E16" s="193">
        <f t="shared" si="0"/>
        <v>0</v>
      </c>
      <c r="F16" s="202"/>
      <c r="G16" s="199"/>
      <c r="H16" s="198"/>
      <c r="I16" s="195">
        <f t="shared" si="1"/>
        <v>0</v>
      </c>
      <c r="J16" s="484"/>
    </row>
    <row r="17" spans="1:10" ht="12.75" customHeight="1">
      <c r="A17" s="196" t="s">
        <v>418</v>
      </c>
      <c r="B17" s="204"/>
      <c r="C17" s="205"/>
      <c r="D17" s="205"/>
      <c r="E17" s="206"/>
      <c r="F17" s="202"/>
      <c r="G17" s="207"/>
      <c r="H17" s="205"/>
      <c r="I17" s="195">
        <f t="shared" si="1"/>
        <v>0</v>
      </c>
      <c r="J17" s="484"/>
    </row>
    <row r="18" spans="1:10" ht="21">
      <c r="A18" s="208" t="s">
        <v>419</v>
      </c>
      <c r="B18" s="209" t="s">
        <v>420</v>
      </c>
      <c r="C18" s="210">
        <f>C6+C7+C9+C10+C11+C13+C14+C15+C16+C17</f>
        <v>597205491</v>
      </c>
      <c r="D18" s="210">
        <f>D6+D7+D9+D10+D11+D13+D14+D15+D16+D17</f>
        <v>202076151</v>
      </c>
      <c r="E18" s="210">
        <f>E6+E7+E9+E10+E11+E13+E14+E15+E16+E17</f>
        <v>799281642</v>
      </c>
      <c r="F18" s="209" t="s">
        <v>421</v>
      </c>
      <c r="G18" s="211">
        <f>SUM(G6:G17)</f>
        <v>651212818</v>
      </c>
      <c r="H18" s="210">
        <f>SUM(H6:H17)</f>
        <v>347653130</v>
      </c>
      <c r="I18" s="212">
        <f>SUM(I6:I17)</f>
        <v>998865948</v>
      </c>
      <c r="J18" s="484"/>
    </row>
    <row r="19" spans="1:10" ht="12.75" customHeight="1">
      <c r="A19" s="213" t="s">
        <v>422</v>
      </c>
      <c r="B19" s="214" t="s">
        <v>423</v>
      </c>
      <c r="C19" s="215">
        <f>+C20+C21+C22+C23</f>
        <v>69397358</v>
      </c>
      <c r="D19" s="215">
        <f>+D20+D21+D22+D23</f>
        <v>145576979</v>
      </c>
      <c r="E19" s="215">
        <f>+E20+E21+E22+E23</f>
        <v>214974337</v>
      </c>
      <c r="F19" s="197" t="s">
        <v>424</v>
      </c>
      <c r="G19" s="216"/>
      <c r="H19" s="217"/>
      <c r="I19" s="218">
        <f>G19+H19</f>
        <v>0</v>
      </c>
      <c r="J19" s="484"/>
    </row>
    <row r="20" spans="1:10" ht="12.75" customHeight="1">
      <c r="A20" s="196" t="s">
        <v>425</v>
      </c>
      <c r="B20" s="197" t="s">
        <v>426</v>
      </c>
      <c r="C20" s="198">
        <v>69397358</v>
      </c>
      <c r="D20" s="198">
        <v>145576979</v>
      </c>
      <c r="E20" s="219">
        <f>C20+D20</f>
        <v>214974337</v>
      </c>
      <c r="F20" s="197" t="s">
        <v>427</v>
      </c>
      <c r="G20" s="199"/>
      <c r="H20" s="198"/>
      <c r="I20" s="220">
        <f aca="true" t="shared" si="2" ref="I20:I28">G20+H20</f>
        <v>0</v>
      </c>
      <c r="J20" s="484"/>
    </row>
    <row r="21" spans="1:10" ht="12.75" customHeight="1">
      <c r="A21" s="196" t="s">
        <v>428</v>
      </c>
      <c r="B21" s="197" t="s">
        <v>429</v>
      </c>
      <c r="C21" s="198"/>
      <c r="D21" s="198"/>
      <c r="E21" s="219">
        <f>C21+D21</f>
        <v>0</v>
      </c>
      <c r="F21" s="197" t="s">
        <v>430</v>
      </c>
      <c r="G21" s="199"/>
      <c r="H21" s="198"/>
      <c r="I21" s="220">
        <f t="shared" si="2"/>
        <v>0</v>
      </c>
      <c r="J21" s="484"/>
    </row>
    <row r="22" spans="1:10" ht="12.75" customHeight="1">
      <c r="A22" s="196" t="s">
        <v>431</v>
      </c>
      <c r="B22" s="197" t="s">
        <v>432</v>
      </c>
      <c r="C22" s="198"/>
      <c r="D22" s="198"/>
      <c r="E22" s="219">
        <f>C22+D22</f>
        <v>0</v>
      </c>
      <c r="F22" s="197" t="s">
        <v>433</v>
      </c>
      <c r="G22" s="199"/>
      <c r="H22" s="198"/>
      <c r="I22" s="220">
        <f t="shared" si="2"/>
        <v>0</v>
      </c>
      <c r="J22" s="484"/>
    </row>
    <row r="23" spans="1:10" ht="12.75" customHeight="1">
      <c r="A23" s="196" t="s">
        <v>434</v>
      </c>
      <c r="B23" s="221" t="s">
        <v>435</v>
      </c>
      <c r="C23" s="198"/>
      <c r="D23" s="198"/>
      <c r="E23" s="219">
        <f>C23+D23</f>
        <v>0</v>
      </c>
      <c r="F23" s="214" t="s">
        <v>436</v>
      </c>
      <c r="G23" s="199"/>
      <c r="H23" s="198"/>
      <c r="I23" s="220">
        <f t="shared" si="2"/>
        <v>0</v>
      </c>
      <c r="J23" s="484"/>
    </row>
    <row r="24" spans="1:10" ht="12.75" customHeight="1">
      <c r="A24" s="196" t="s">
        <v>437</v>
      </c>
      <c r="B24" s="197" t="s">
        <v>438</v>
      </c>
      <c r="C24" s="222">
        <f>+C25+C26</f>
        <v>0</v>
      </c>
      <c r="D24" s="222">
        <f>+D25+D26</f>
        <v>0</v>
      </c>
      <c r="E24" s="222">
        <f>+E25+E26</f>
        <v>0</v>
      </c>
      <c r="F24" s="197" t="s">
        <v>439</v>
      </c>
      <c r="G24" s="199"/>
      <c r="H24" s="198"/>
      <c r="I24" s="220">
        <f t="shared" si="2"/>
        <v>0</v>
      </c>
      <c r="J24" s="484"/>
    </row>
    <row r="25" spans="1:10" ht="12.75" customHeight="1">
      <c r="A25" s="213" t="s">
        <v>440</v>
      </c>
      <c r="B25" s="214" t="s">
        <v>441</v>
      </c>
      <c r="C25" s="217"/>
      <c r="D25" s="217"/>
      <c r="E25" s="223">
        <f>C25+D25</f>
        <v>0</v>
      </c>
      <c r="F25" s="191" t="s">
        <v>378</v>
      </c>
      <c r="G25" s="216"/>
      <c r="H25" s="217"/>
      <c r="I25" s="218">
        <f t="shared" si="2"/>
        <v>0</v>
      </c>
      <c r="J25" s="484"/>
    </row>
    <row r="26" spans="1:10" ht="12.75" customHeight="1">
      <c r="A26" s="196" t="s">
        <v>442</v>
      </c>
      <c r="B26" s="221" t="s">
        <v>443</v>
      </c>
      <c r="C26" s="198"/>
      <c r="D26" s="198"/>
      <c r="E26" s="219">
        <f>C26+D26</f>
        <v>0</v>
      </c>
      <c r="F26" s="197" t="s">
        <v>388</v>
      </c>
      <c r="G26" s="199"/>
      <c r="H26" s="198"/>
      <c r="I26" s="220">
        <f t="shared" si="2"/>
        <v>0</v>
      </c>
      <c r="J26" s="484"/>
    </row>
    <row r="27" spans="1:10" ht="12.75" customHeight="1">
      <c r="A27" s="196" t="s">
        <v>444</v>
      </c>
      <c r="B27" s="197" t="s">
        <v>445</v>
      </c>
      <c r="C27" s="198"/>
      <c r="D27" s="198"/>
      <c r="E27" s="219">
        <f>C27+D27</f>
        <v>0</v>
      </c>
      <c r="F27" s="197" t="s">
        <v>390</v>
      </c>
      <c r="G27" s="199"/>
      <c r="H27" s="198"/>
      <c r="I27" s="220">
        <f t="shared" si="2"/>
        <v>0</v>
      </c>
      <c r="J27" s="484"/>
    </row>
    <row r="28" spans="1:10" ht="12.75" customHeight="1">
      <c r="A28" s="213" t="s">
        <v>446</v>
      </c>
      <c r="B28" s="214" t="s">
        <v>299</v>
      </c>
      <c r="C28" s="217"/>
      <c r="D28" s="217"/>
      <c r="E28" s="223">
        <f>C28+D28</f>
        <v>0</v>
      </c>
      <c r="F28" s="224" t="s">
        <v>377</v>
      </c>
      <c r="G28" s="216">
        <v>15390031</v>
      </c>
      <c r="H28" s="217"/>
      <c r="I28" s="218">
        <f t="shared" si="2"/>
        <v>15390031</v>
      </c>
      <c r="J28" s="484"/>
    </row>
    <row r="29" spans="1:10" ht="24" customHeight="1">
      <c r="A29" s="208" t="s">
        <v>447</v>
      </c>
      <c r="B29" s="209" t="s">
        <v>448</v>
      </c>
      <c r="C29" s="210">
        <f>+C19+C24+C27+C28</f>
        <v>69397358</v>
      </c>
      <c r="D29" s="210">
        <f>+D19+D24+D27+D28</f>
        <v>145576979</v>
      </c>
      <c r="E29" s="225">
        <f>+E19+E24+E27+E28</f>
        <v>214974337</v>
      </c>
      <c r="F29" s="209" t="s">
        <v>449</v>
      </c>
      <c r="G29" s="211">
        <f>SUM(G19:G28)</f>
        <v>15390031</v>
      </c>
      <c r="H29" s="210">
        <f>SUM(H19:H28)</f>
        <v>0</v>
      </c>
      <c r="I29" s="212">
        <f>SUM(I19:I28)</f>
        <v>15390031</v>
      </c>
      <c r="J29" s="484"/>
    </row>
    <row r="30" spans="1:10" ht="12.75">
      <c r="A30" s="208" t="s">
        <v>450</v>
      </c>
      <c r="B30" s="226" t="s">
        <v>451</v>
      </c>
      <c r="C30" s="227">
        <f>+C18+C29</f>
        <v>666602849</v>
      </c>
      <c r="D30" s="228">
        <f>+D18+D29</f>
        <v>347653130</v>
      </c>
      <c r="E30" s="229">
        <f>+E18+E29</f>
        <v>1014255979</v>
      </c>
      <c r="F30" s="226" t="s">
        <v>452</v>
      </c>
      <c r="G30" s="227">
        <f>+G18+G29</f>
        <v>666602849</v>
      </c>
      <c r="H30" s="228">
        <f>+H18+H29</f>
        <v>347653130</v>
      </c>
      <c r="I30" s="229">
        <f>+I18+I29</f>
        <v>1014255979</v>
      </c>
      <c r="J30" s="484"/>
    </row>
    <row r="31" spans="1:10" ht="12.75">
      <c r="A31" s="208" t="s">
        <v>453</v>
      </c>
      <c r="B31" s="226" t="s">
        <v>454</v>
      </c>
      <c r="C31" s="227">
        <f>IF(C18-E18&lt;0,E18-C18,"-")</f>
        <v>202076151</v>
      </c>
      <c r="D31" s="228">
        <f>IF(D18-H18&lt;0,H18-D18,"-")</f>
        <v>145576979</v>
      </c>
      <c r="E31" s="229">
        <f>IF(E18-I18&lt;0,I18-E18,"-")</f>
        <v>199584306</v>
      </c>
      <c r="F31" s="226" t="s">
        <v>455</v>
      </c>
      <c r="G31" s="227">
        <f>IF(E18-G18&gt;0,E18-G18,"-")</f>
        <v>148068824</v>
      </c>
      <c r="H31" s="228" t="str">
        <f>IF(D18-H18&gt;0,D18-H18,"-")</f>
        <v>-</v>
      </c>
      <c r="I31" s="229" t="str">
        <f>IF(E18-I18&gt;0,E18-I18,"-")</f>
        <v>-</v>
      </c>
      <c r="J31" s="484"/>
    </row>
    <row r="32" spans="1:10" ht="12.75">
      <c r="A32" s="208" t="s">
        <v>456</v>
      </c>
      <c r="B32" s="226" t="s">
        <v>457</v>
      </c>
      <c r="C32" s="227">
        <f>IF(C30-E30&lt;0,E30-C30,"-")</f>
        <v>347653130</v>
      </c>
      <c r="D32" s="228" t="str">
        <f>IF(D30-H30&lt;0,H30-D30,"-")</f>
        <v>-</v>
      </c>
      <c r="E32" s="228" t="str">
        <f>IF(E30-I30&lt;0,I30-E30,"-")</f>
        <v>-</v>
      </c>
      <c r="F32" s="226" t="s">
        <v>458</v>
      </c>
      <c r="G32" s="227">
        <f>IF(E30-G30&gt;0,E30-G30,"-")</f>
        <v>347653130</v>
      </c>
      <c r="H32" s="228" t="str">
        <f>IF(D30-H30&gt;0,D30-H30,"-")</f>
        <v>-</v>
      </c>
      <c r="I32" s="230" t="str">
        <f>IF(E30-I30&gt;0,E30-I30,"-")</f>
        <v>-</v>
      </c>
      <c r="J32" s="484"/>
    </row>
    <row r="33" spans="2:6" ht="18.75">
      <c r="B33" s="482"/>
      <c r="C33" s="482"/>
      <c r="D33" s="482"/>
      <c r="E33" s="482"/>
      <c r="F33" s="482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15" zoomScalePageLayoutView="0" workbookViewId="0" topLeftCell="C1">
      <selection activeCell="D17" sqref="D17"/>
    </sheetView>
  </sheetViews>
  <sheetFormatPr defaultColWidth="9.00390625" defaultRowHeight="12.75"/>
  <cols>
    <col min="1" max="1" width="6.875" style="174" customWidth="1"/>
    <col min="2" max="2" width="49.875" style="175" customWidth="1"/>
    <col min="3" max="5" width="15.50390625" style="174" customWidth="1"/>
    <col min="6" max="6" width="46.375" style="174" customWidth="1"/>
    <col min="7" max="9" width="15.50390625" style="174" customWidth="1"/>
    <col min="10" max="10" width="4.875" style="174" customWidth="1"/>
    <col min="11" max="12" width="11.00390625" style="174" bestFit="1" customWidth="1"/>
    <col min="13" max="16384" width="9.375" style="174" customWidth="1"/>
  </cols>
  <sheetData>
    <row r="1" spans="2:10" ht="12.75" customHeight="1">
      <c r="B1" s="483" t="s">
        <v>459</v>
      </c>
      <c r="C1" s="483"/>
      <c r="D1" s="483"/>
      <c r="E1" s="483"/>
      <c r="F1" s="483"/>
      <c r="G1" s="483"/>
      <c r="H1" s="483"/>
      <c r="I1" s="483"/>
      <c r="J1" s="484" t="str">
        <f>CONCATENATE("2.2. melléklet ",RM_ALAPADATOK!A7," ",RM_ALAPADATOK!B7," ",RM_ALAPADATOK!C7," ",RM_ALAPADATOK!D7," ",RM_ALAPADATOK!E7," ",RM_ALAPADATOK!F7," ",RM_ALAPADATOK!G7," ",RM_ALAPADATOK!H7)</f>
        <v>2.2. melléklet a  / 2019 (  ) önkormányzati rendelethez</v>
      </c>
    </row>
    <row r="2" spans="7:10" ht="13.5">
      <c r="G2" s="176"/>
      <c r="H2" s="176"/>
      <c r="I2" s="176" t="str">
        <f>'RM_2.1.sz.mell.'!I2</f>
        <v>Forintban!</v>
      </c>
      <c r="J2" s="484"/>
    </row>
    <row r="3" spans="1:10" ht="13.5" customHeight="1">
      <c r="A3" s="485" t="s">
        <v>117</v>
      </c>
      <c r="B3" s="486" t="s">
        <v>403</v>
      </c>
      <c r="C3" s="486"/>
      <c r="D3" s="486"/>
      <c r="E3" s="486"/>
      <c r="F3" s="485" t="s">
        <v>404</v>
      </c>
      <c r="G3" s="485"/>
      <c r="H3" s="485"/>
      <c r="I3" s="485"/>
      <c r="J3" s="484"/>
    </row>
    <row r="4" spans="1:10" s="183" customFormat="1" ht="36">
      <c r="A4" s="485"/>
      <c r="B4" s="177" t="s">
        <v>405</v>
      </c>
      <c r="C4" s="181" t="str">
        <f>+CONCATENATE('RM_1.1.sz.mell.'!C8," eredeti előirányzat")</f>
        <v>2019. évi eredeti előirányzat</v>
      </c>
      <c r="D4" s="231" t="str">
        <f>CONCATENATE('RM_2.1.sz.mell.'!D4)</f>
        <v>Halmozott módosítás 2019.06.30.-ig</v>
      </c>
      <c r="E4" s="231" t="str">
        <f>+CONCATENATE(LEFT('RM_1.1.sz.mell.'!C8,4),". 03.31. Módisítás után")</f>
        <v>2019. 03.31. Módisítás után</v>
      </c>
      <c r="F4" s="180" t="s">
        <v>405</v>
      </c>
      <c r="G4" s="181" t="str">
        <f>+C4</f>
        <v>2019. évi eredeti előirányzat</v>
      </c>
      <c r="H4" s="181" t="str">
        <f>+D4</f>
        <v>Halmozott módosítás 2019.06.30.-ig</v>
      </c>
      <c r="I4" s="182" t="str">
        <f>+E4</f>
        <v>2019. 03.31. Módisítás után</v>
      </c>
      <c r="J4" s="484"/>
    </row>
    <row r="5" spans="1:10" s="183" customFormat="1" ht="12.75">
      <c r="A5" s="184" t="s">
        <v>127</v>
      </c>
      <c r="B5" s="185" t="s">
        <v>128</v>
      </c>
      <c r="C5" s="186" t="s">
        <v>129</v>
      </c>
      <c r="D5" s="187" t="s">
        <v>130</v>
      </c>
      <c r="E5" s="187" t="s">
        <v>406</v>
      </c>
      <c r="F5" s="185" t="s">
        <v>407</v>
      </c>
      <c r="G5" s="186" t="s">
        <v>133</v>
      </c>
      <c r="H5" s="186" t="s">
        <v>134</v>
      </c>
      <c r="I5" s="188" t="s">
        <v>408</v>
      </c>
      <c r="J5" s="484"/>
    </row>
    <row r="6" spans="1:10" ht="12.75" customHeight="1">
      <c r="A6" s="190" t="s">
        <v>138</v>
      </c>
      <c r="B6" s="191" t="s">
        <v>460</v>
      </c>
      <c r="C6" s="192">
        <v>8856290</v>
      </c>
      <c r="D6" s="192"/>
      <c r="E6" s="193">
        <f>C6+D6</f>
        <v>8856290</v>
      </c>
      <c r="F6" s="191" t="s">
        <v>344</v>
      </c>
      <c r="G6" s="194">
        <v>28013862</v>
      </c>
      <c r="H6" s="232">
        <v>19437979</v>
      </c>
      <c r="I6" s="233">
        <f>G6+H6</f>
        <v>47451841</v>
      </c>
      <c r="J6" s="484"/>
    </row>
    <row r="7" spans="1:10" ht="12.75">
      <c r="A7" s="196" t="s">
        <v>152</v>
      </c>
      <c r="B7" s="197" t="s">
        <v>461</v>
      </c>
      <c r="C7" s="198"/>
      <c r="D7" s="198"/>
      <c r="E7" s="193">
        <f aca="true" t="shared" si="0" ref="E7:E16">C7+D7</f>
        <v>0</v>
      </c>
      <c r="F7" s="197" t="s">
        <v>462</v>
      </c>
      <c r="G7" s="199"/>
      <c r="H7" s="198"/>
      <c r="I7" s="220">
        <f aca="true" t="shared" si="1" ref="I7:I29">G7+H7</f>
        <v>0</v>
      </c>
      <c r="J7" s="484"/>
    </row>
    <row r="8" spans="1:10" ht="12.75" customHeight="1">
      <c r="A8" s="196" t="s">
        <v>166</v>
      </c>
      <c r="B8" s="197" t="s">
        <v>463</v>
      </c>
      <c r="C8" s="198"/>
      <c r="D8" s="198"/>
      <c r="E8" s="193">
        <f t="shared" si="0"/>
        <v>0</v>
      </c>
      <c r="F8" s="197" t="s">
        <v>346</v>
      </c>
      <c r="G8" s="199">
        <v>155763832</v>
      </c>
      <c r="H8" s="198">
        <v>25846707</v>
      </c>
      <c r="I8" s="220">
        <f t="shared" si="1"/>
        <v>181610539</v>
      </c>
      <c r="J8" s="484"/>
    </row>
    <row r="9" spans="1:10" ht="12.75" customHeight="1">
      <c r="A9" s="196" t="s">
        <v>363</v>
      </c>
      <c r="B9" s="197" t="s">
        <v>464</v>
      </c>
      <c r="C9" s="198">
        <v>13000000</v>
      </c>
      <c r="D9" s="198"/>
      <c r="E9" s="193">
        <f t="shared" si="0"/>
        <v>13000000</v>
      </c>
      <c r="F9" s="197" t="s">
        <v>465</v>
      </c>
      <c r="G9" s="199">
        <v>120091212</v>
      </c>
      <c r="H9" s="198"/>
      <c r="I9" s="220">
        <f t="shared" si="1"/>
        <v>120091212</v>
      </c>
      <c r="J9" s="484"/>
    </row>
    <row r="10" spans="1:10" ht="12.75" customHeight="1">
      <c r="A10" s="196" t="s">
        <v>196</v>
      </c>
      <c r="B10" s="197" t="s">
        <v>466</v>
      </c>
      <c r="C10" s="198"/>
      <c r="D10" s="198"/>
      <c r="E10" s="193">
        <f t="shared" si="0"/>
        <v>0</v>
      </c>
      <c r="F10" s="197" t="s">
        <v>348</v>
      </c>
      <c r="G10" s="199">
        <v>6800000</v>
      </c>
      <c r="H10" s="198">
        <v>350000</v>
      </c>
      <c r="I10" s="220">
        <f t="shared" si="1"/>
        <v>7150000</v>
      </c>
      <c r="J10" s="484"/>
    </row>
    <row r="11" spans="1:10" ht="12.75" customHeight="1">
      <c r="A11" s="196" t="s">
        <v>220</v>
      </c>
      <c r="B11" s="197" t="s">
        <v>467</v>
      </c>
      <c r="C11" s="201"/>
      <c r="D11" s="201">
        <v>51937034</v>
      </c>
      <c r="E11" s="193">
        <f t="shared" si="0"/>
        <v>51937034</v>
      </c>
      <c r="F11" s="234"/>
      <c r="G11" s="199"/>
      <c r="H11" s="198"/>
      <c r="I11" s="220">
        <f t="shared" si="1"/>
        <v>0</v>
      </c>
      <c r="J11" s="484"/>
    </row>
    <row r="12" spans="1:10" ht="12.75" customHeight="1">
      <c r="A12" s="196" t="s">
        <v>380</v>
      </c>
      <c r="B12" s="202"/>
      <c r="C12" s="198"/>
      <c r="D12" s="198"/>
      <c r="E12" s="193">
        <f t="shared" si="0"/>
        <v>0</v>
      </c>
      <c r="F12" s="234"/>
      <c r="G12" s="199"/>
      <c r="H12" s="198"/>
      <c r="I12" s="220">
        <f t="shared" si="1"/>
        <v>0</v>
      </c>
      <c r="J12" s="484"/>
    </row>
    <row r="13" spans="1:10" ht="12.75" customHeight="1">
      <c r="A13" s="196" t="s">
        <v>242</v>
      </c>
      <c r="B13" s="202"/>
      <c r="C13" s="198"/>
      <c r="D13" s="198"/>
      <c r="E13" s="193">
        <f t="shared" si="0"/>
        <v>0</v>
      </c>
      <c r="F13" s="234"/>
      <c r="G13" s="199"/>
      <c r="H13" s="198"/>
      <c r="I13" s="220">
        <f t="shared" si="1"/>
        <v>0</v>
      </c>
      <c r="J13" s="484"/>
    </row>
    <row r="14" spans="1:10" ht="12.75" customHeight="1">
      <c r="A14" s="196" t="s">
        <v>389</v>
      </c>
      <c r="B14" s="235"/>
      <c r="C14" s="201"/>
      <c r="D14" s="201"/>
      <c r="E14" s="193">
        <f t="shared" si="0"/>
        <v>0</v>
      </c>
      <c r="F14" s="234"/>
      <c r="G14" s="199"/>
      <c r="H14" s="198"/>
      <c r="I14" s="220">
        <f t="shared" si="1"/>
        <v>0</v>
      </c>
      <c r="J14" s="484"/>
    </row>
    <row r="15" spans="1:10" ht="12.75">
      <c r="A15" s="196" t="s">
        <v>391</v>
      </c>
      <c r="B15" s="202"/>
      <c r="C15" s="201"/>
      <c r="D15" s="201"/>
      <c r="E15" s="193">
        <f t="shared" si="0"/>
        <v>0</v>
      </c>
      <c r="F15" s="234"/>
      <c r="G15" s="199"/>
      <c r="H15" s="198"/>
      <c r="I15" s="220">
        <f t="shared" si="1"/>
        <v>0</v>
      </c>
      <c r="J15" s="484"/>
    </row>
    <row r="16" spans="1:10" ht="12.75" customHeight="1">
      <c r="A16" s="213" t="s">
        <v>393</v>
      </c>
      <c r="B16" s="224"/>
      <c r="C16" s="236"/>
      <c r="D16" s="236"/>
      <c r="E16" s="193">
        <f t="shared" si="0"/>
        <v>0</v>
      </c>
      <c r="F16" s="214" t="s">
        <v>338</v>
      </c>
      <c r="G16" s="216">
        <v>15000000</v>
      </c>
      <c r="H16" s="217">
        <v>36941008</v>
      </c>
      <c r="I16" s="218">
        <f t="shared" si="1"/>
        <v>51941008</v>
      </c>
      <c r="J16" s="484"/>
    </row>
    <row r="17" spans="1:10" ht="15.75" customHeight="1">
      <c r="A17" s="208" t="s">
        <v>418</v>
      </c>
      <c r="B17" s="209" t="s">
        <v>468</v>
      </c>
      <c r="C17" s="210">
        <f>+C6+C8+C9+C11+C12+C13+C14+C15+C16</f>
        <v>21856290</v>
      </c>
      <c r="D17" s="210">
        <f>+D6+D8+D9+D11+D12+D13+D14+D15+D16</f>
        <v>51937034</v>
      </c>
      <c r="E17" s="210">
        <f>+E6+E8+E9+E11+E12+E13+E14+E15+E16</f>
        <v>73793324</v>
      </c>
      <c r="F17" s="209" t="s">
        <v>469</v>
      </c>
      <c r="G17" s="211">
        <f>+G6+G8+G10+G11+G12+G13+G14+G15+G16</f>
        <v>205577694</v>
      </c>
      <c r="H17" s="210">
        <f>+H6+H8+H10+H11+H12+H13+H14+H15+H16</f>
        <v>82575694</v>
      </c>
      <c r="I17" s="212">
        <f>+I6+I8+I10+I11+I12+I13+I14+I15+I16</f>
        <v>288153388</v>
      </c>
      <c r="J17" s="484"/>
    </row>
    <row r="18" spans="1:10" ht="12.75" customHeight="1">
      <c r="A18" s="190" t="s">
        <v>419</v>
      </c>
      <c r="B18" s="237" t="s">
        <v>470</v>
      </c>
      <c r="C18" s="238">
        <f>SUM(C19:C23)</f>
        <v>183721404</v>
      </c>
      <c r="D18" s="238">
        <f>+D19+D20+D21+D22+D23</f>
        <v>30638660</v>
      </c>
      <c r="E18" s="238">
        <f>+E19+E20+E21+E22+E23</f>
        <v>214360064</v>
      </c>
      <c r="F18" s="197" t="s">
        <v>424</v>
      </c>
      <c r="G18" s="194"/>
      <c r="H18" s="192"/>
      <c r="I18" s="195">
        <f t="shared" si="1"/>
        <v>0</v>
      </c>
      <c r="J18" s="484"/>
    </row>
    <row r="19" spans="1:10" ht="12.75" customHeight="1">
      <c r="A19" s="196" t="s">
        <v>422</v>
      </c>
      <c r="B19" s="221" t="s">
        <v>471</v>
      </c>
      <c r="C19" s="198">
        <v>183721404</v>
      </c>
      <c r="D19" s="198">
        <v>30638660</v>
      </c>
      <c r="E19" s="219">
        <f aca="true" t="shared" si="2" ref="E19:E29">C19+D19</f>
        <v>214360064</v>
      </c>
      <c r="F19" s="197" t="s">
        <v>472</v>
      </c>
      <c r="G19" s="199"/>
      <c r="H19" s="198"/>
      <c r="I19" s="220">
        <f t="shared" si="1"/>
        <v>0</v>
      </c>
      <c r="J19" s="484"/>
    </row>
    <row r="20" spans="1:10" ht="12.75" customHeight="1">
      <c r="A20" s="190" t="s">
        <v>425</v>
      </c>
      <c r="B20" s="221" t="s">
        <v>473</v>
      </c>
      <c r="C20" s="198"/>
      <c r="D20" s="198"/>
      <c r="E20" s="219">
        <f t="shared" si="2"/>
        <v>0</v>
      </c>
      <c r="F20" s="197" t="s">
        <v>430</v>
      </c>
      <c r="G20" s="199"/>
      <c r="H20" s="198"/>
      <c r="I20" s="220">
        <f t="shared" si="1"/>
        <v>0</v>
      </c>
      <c r="J20" s="484"/>
    </row>
    <row r="21" spans="1:10" ht="12.75" customHeight="1">
      <c r="A21" s="196" t="s">
        <v>428</v>
      </c>
      <c r="B21" s="221" t="s">
        <v>474</v>
      </c>
      <c r="C21" s="198"/>
      <c r="D21" s="198"/>
      <c r="E21" s="219">
        <f t="shared" si="2"/>
        <v>0</v>
      </c>
      <c r="F21" s="197" t="s">
        <v>433</v>
      </c>
      <c r="G21" s="199"/>
      <c r="H21" s="198"/>
      <c r="I21" s="220">
        <f t="shared" si="1"/>
        <v>0</v>
      </c>
      <c r="J21" s="484"/>
    </row>
    <row r="22" spans="1:10" ht="12.75" customHeight="1">
      <c r="A22" s="190" t="s">
        <v>431</v>
      </c>
      <c r="B22" s="221" t="s">
        <v>435</v>
      </c>
      <c r="C22" s="198"/>
      <c r="D22" s="198"/>
      <c r="E22" s="219">
        <f t="shared" si="2"/>
        <v>0</v>
      </c>
      <c r="F22" s="214" t="s">
        <v>436</v>
      </c>
      <c r="G22" s="199"/>
      <c r="H22" s="198"/>
      <c r="I22" s="220">
        <f t="shared" si="1"/>
        <v>0</v>
      </c>
      <c r="J22" s="484"/>
    </row>
    <row r="23" spans="1:10" ht="12.75" customHeight="1">
      <c r="A23" s="196" t="s">
        <v>434</v>
      </c>
      <c r="B23" s="239" t="s">
        <v>475</v>
      </c>
      <c r="C23" s="198"/>
      <c r="D23" s="198"/>
      <c r="E23" s="219">
        <f t="shared" si="2"/>
        <v>0</v>
      </c>
      <c r="F23" s="197" t="s">
        <v>476</v>
      </c>
      <c r="G23" s="199"/>
      <c r="H23" s="198"/>
      <c r="I23" s="220">
        <f t="shared" si="1"/>
        <v>0</v>
      </c>
      <c r="J23" s="484"/>
    </row>
    <row r="24" spans="1:10" ht="12.75" customHeight="1">
      <c r="A24" s="190" t="s">
        <v>437</v>
      </c>
      <c r="B24" s="240" t="s">
        <v>477</v>
      </c>
      <c r="C24" s="222">
        <f>+C25+C26+C27+C28+C29</f>
        <v>0</v>
      </c>
      <c r="D24" s="222">
        <f>+D25+D26+D27+D28+D29</f>
        <v>0</v>
      </c>
      <c r="E24" s="222">
        <f>+E25+E26+E27+E28+E29</f>
        <v>0</v>
      </c>
      <c r="F24" s="191" t="s">
        <v>478</v>
      </c>
      <c r="G24" s="199"/>
      <c r="H24" s="198"/>
      <c r="I24" s="220">
        <f t="shared" si="1"/>
        <v>0</v>
      </c>
      <c r="J24" s="484"/>
    </row>
    <row r="25" spans="1:10" ht="12.75" customHeight="1">
      <c r="A25" s="196" t="s">
        <v>440</v>
      </c>
      <c r="B25" s="239" t="s">
        <v>479</v>
      </c>
      <c r="C25" s="198"/>
      <c r="D25" s="198"/>
      <c r="E25" s="219">
        <f t="shared" si="2"/>
        <v>0</v>
      </c>
      <c r="F25" s="191" t="s">
        <v>379</v>
      </c>
      <c r="G25" s="199"/>
      <c r="H25" s="198"/>
      <c r="I25" s="220">
        <f t="shared" si="1"/>
        <v>0</v>
      </c>
      <c r="J25" s="484"/>
    </row>
    <row r="26" spans="1:10" ht="12.75" customHeight="1">
      <c r="A26" s="190" t="s">
        <v>442</v>
      </c>
      <c r="B26" s="239" t="s">
        <v>480</v>
      </c>
      <c r="C26" s="198"/>
      <c r="D26" s="198"/>
      <c r="E26" s="219">
        <f t="shared" si="2"/>
        <v>0</v>
      </c>
      <c r="F26" s="241"/>
      <c r="G26" s="199"/>
      <c r="H26" s="198"/>
      <c r="I26" s="220">
        <f t="shared" si="1"/>
        <v>0</v>
      </c>
      <c r="J26" s="484"/>
    </row>
    <row r="27" spans="1:10" ht="12.75" customHeight="1">
      <c r="A27" s="196" t="s">
        <v>444</v>
      </c>
      <c r="B27" s="221" t="s">
        <v>481</v>
      </c>
      <c r="C27" s="198"/>
      <c r="D27" s="198"/>
      <c r="E27" s="219">
        <f t="shared" si="2"/>
        <v>0</v>
      </c>
      <c r="F27" s="241"/>
      <c r="G27" s="199"/>
      <c r="H27" s="198"/>
      <c r="I27" s="220">
        <f t="shared" si="1"/>
        <v>0</v>
      </c>
      <c r="J27" s="484"/>
    </row>
    <row r="28" spans="1:10" ht="12.75" customHeight="1">
      <c r="A28" s="190" t="s">
        <v>446</v>
      </c>
      <c r="B28" s="242" t="s">
        <v>482</v>
      </c>
      <c r="C28" s="198"/>
      <c r="D28" s="198"/>
      <c r="E28" s="219">
        <f t="shared" si="2"/>
        <v>0</v>
      </c>
      <c r="F28" s="202"/>
      <c r="G28" s="199"/>
      <c r="H28" s="198"/>
      <c r="I28" s="220">
        <f t="shared" si="1"/>
        <v>0</v>
      </c>
      <c r="J28" s="484"/>
    </row>
    <row r="29" spans="1:10" ht="12.75" customHeight="1">
      <c r="A29" s="196" t="s">
        <v>447</v>
      </c>
      <c r="B29" s="243" t="s">
        <v>483</v>
      </c>
      <c r="C29" s="198"/>
      <c r="D29" s="198"/>
      <c r="E29" s="219">
        <f t="shared" si="2"/>
        <v>0</v>
      </c>
      <c r="F29" s="241"/>
      <c r="G29" s="199"/>
      <c r="H29" s="198"/>
      <c r="I29" s="220">
        <f t="shared" si="1"/>
        <v>0</v>
      </c>
      <c r="J29" s="484"/>
    </row>
    <row r="30" spans="1:10" ht="21.75" customHeight="1">
      <c r="A30" s="208" t="s">
        <v>450</v>
      </c>
      <c r="B30" s="209" t="s">
        <v>484</v>
      </c>
      <c r="C30" s="210">
        <f>+C18+C24</f>
        <v>183721404</v>
      </c>
      <c r="D30" s="210">
        <f>+D18+D24</f>
        <v>30638660</v>
      </c>
      <c r="E30" s="210">
        <f>+E18+E24</f>
        <v>214360064</v>
      </c>
      <c r="F30" s="209" t="s">
        <v>485</v>
      </c>
      <c r="G30" s="211">
        <f>SUM(G18:G29)</f>
        <v>0</v>
      </c>
      <c r="H30" s="210">
        <f>SUM(H18:H29)</f>
        <v>0</v>
      </c>
      <c r="I30" s="212">
        <f>SUM(I18:I29)</f>
        <v>0</v>
      </c>
      <c r="J30" s="484"/>
    </row>
    <row r="31" spans="1:10" ht="12.75">
      <c r="A31" s="208" t="s">
        <v>453</v>
      </c>
      <c r="B31" s="226" t="s">
        <v>486</v>
      </c>
      <c r="C31" s="227">
        <f>+C17+C30</f>
        <v>205577694</v>
      </c>
      <c r="D31" s="228">
        <f>+D17+D30</f>
        <v>82575694</v>
      </c>
      <c r="E31" s="229">
        <f>+E17+E30</f>
        <v>288153388</v>
      </c>
      <c r="F31" s="226" t="s">
        <v>487</v>
      </c>
      <c r="G31" s="227">
        <f>+G17+G30</f>
        <v>205577694</v>
      </c>
      <c r="H31" s="228">
        <f>+H17+H30</f>
        <v>82575694</v>
      </c>
      <c r="I31" s="229">
        <f>+I17+I30</f>
        <v>288153388</v>
      </c>
      <c r="J31" s="484"/>
    </row>
    <row r="32" spans="1:10" ht="12.75">
      <c r="A32" s="208" t="s">
        <v>456</v>
      </c>
      <c r="B32" s="226" t="s">
        <v>454</v>
      </c>
      <c r="C32" s="227">
        <f>IF(C17-E17&lt;0,E17-C17,"-")</f>
        <v>51937034</v>
      </c>
      <c r="D32" s="228">
        <f>IF(D17-H17&lt;0,H17-D17,"-")</f>
        <v>30638660</v>
      </c>
      <c r="E32" s="229">
        <f>IF(E17-I17&lt;0,I17-E17,"-")</f>
        <v>214360064</v>
      </c>
      <c r="F32" s="226" t="s">
        <v>455</v>
      </c>
      <c r="G32" s="227" t="str">
        <f>IF(E17-G17&gt;0,E17-G17,"-")</f>
        <v>-</v>
      </c>
      <c r="H32" s="228" t="str">
        <f>IF(D17-H17&gt;0,D17-H17,"-")</f>
        <v>-</v>
      </c>
      <c r="I32" s="229" t="str">
        <f>IF(E17-I17&gt;0,E17-I17,"-")</f>
        <v>-</v>
      </c>
      <c r="J32" s="484"/>
    </row>
    <row r="33" spans="1:10" ht="12.75">
      <c r="A33" s="208" t="s">
        <v>488</v>
      </c>
      <c r="B33" s="226" t="s">
        <v>457</v>
      </c>
      <c r="C33" s="227">
        <f>IF(C31-E31&lt;0,E31-C31,"-")</f>
        <v>82575694</v>
      </c>
      <c r="D33" s="228" t="str">
        <f>IF(D31-H31&lt;0,H31-D31,"-")</f>
        <v>-</v>
      </c>
      <c r="E33" s="228" t="str">
        <f>IF(E31-I31&lt;0,I31-E31,"-")</f>
        <v>-</v>
      </c>
      <c r="F33" s="226" t="s">
        <v>458</v>
      </c>
      <c r="G33" s="227">
        <f>IF(E31-G31&gt;0,E31-G31,"-")</f>
        <v>82575694</v>
      </c>
      <c r="H33" s="228" t="str">
        <f>IF(D31-H31&gt;0,D31-H31,"-")</f>
        <v>-</v>
      </c>
      <c r="I33" s="230" t="str">
        <f>IF(E31-I31&gt;0,E31-I31,"-")</f>
        <v>-</v>
      </c>
      <c r="J33" s="484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4722222222222222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asPc4</dc:creator>
  <cp:keywords/>
  <dc:description/>
  <cp:lastModifiedBy>asPc6</cp:lastModifiedBy>
  <cp:lastPrinted>2019-07-30T06:43:23Z</cp:lastPrinted>
  <dcterms:created xsi:type="dcterms:W3CDTF">2019-08-01T08:11:39Z</dcterms:created>
  <dcterms:modified xsi:type="dcterms:W3CDTF">2019-08-05T06:33:27Z</dcterms:modified>
  <cp:category/>
  <cp:version/>
  <cp:contentType/>
  <cp:contentStatus/>
</cp:coreProperties>
</file>