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636" firstSheet="11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_13a_Dologi_kiadások" sheetId="13" r:id="rId13"/>
    <sheet name="13b_dologi_részletező" sheetId="14" r:id="rId14"/>
    <sheet name="14_bér+jár" sheetId="15" r:id="rId15"/>
    <sheet name="15_bevételek" sheetId="16" r:id="rId16"/>
    <sheet name="16_kötött tartalék " sheetId="17" r:id="rId17"/>
    <sheet name="17_pénzmaradvány" sheetId="18" r:id="rId18"/>
  </sheets>
  <externalReferences>
    <externalReference r:id="rId21"/>
  </externalReferences>
  <definedNames>
    <definedName name="_xlnm.Print_Titles" localSheetId="4">'5'!$1:$8</definedName>
    <definedName name="_xlnm.Print_Area" localSheetId="10">'11'!$A$1:$N$25</definedName>
    <definedName name="_xlnm.Print_Area" localSheetId="4">'5'!$A$1:$AE$18</definedName>
    <definedName name="_xlnm.Print_Area" localSheetId="5">'6'!#REF!</definedName>
  </definedNames>
  <calcPr fullCalcOnLoad="1"/>
</workbook>
</file>

<file path=xl/sharedStrings.xml><?xml version="1.0" encoding="utf-8"?>
<sst xmlns="http://schemas.openxmlformats.org/spreadsheetml/2006/main" count="1081" uniqueCount="672">
  <si>
    <t>Önkormányzatok sajátos felhalmozási és tőke bevételei</t>
  </si>
  <si>
    <t>Felhalmozási célú pénzeszközátvétel államháztartáson kívülről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</si>
  <si>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</si>
  <si>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</si>
  <si>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</si>
  <si>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</si>
  <si>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</si>
  <si>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</si>
  <si>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</si>
  <si>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</si>
  <si>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</si>
  <si>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</si>
  <si>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</si>
  <si>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</si>
  <si>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</si>
  <si>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</si>
  <si>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</si>
  <si>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</si>
  <si>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</si>
  <si>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</si>
  <si>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</si>
  <si>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>Pénzforgalom nélküli bevételek</t>
  </si>
  <si>
    <t xml:space="preserve">Bevételek összesen 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</si>
  <si>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</si>
  <si>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</si>
  <si>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</si>
  <si>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</si>
  <si>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Finanszírozási kiadások</t>
  </si>
  <si>
    <t>Támogatásértékű bevételek, átvett pénzeszközök</t>
  </si>
  <si>
    <t>1.</t>
  </si>
  <si>
    <t>10.</t>
  </si>
  <si>
    <t>Szakfeladat száma</t>
  </si>
  <si>
    <t>Szakfeladat megnevezése</t>
  </si>
  <si>
    <t>Éves létszám-előirányzat (fő)</t>
  </si>
  <si>
    <t>Önkormányzatok igazgatási tevékenysége</t>
  </si>
  <si>
    <t>Önkormányzat összesen</t>
  </si>
  <si>
    <t>Összesen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</si>
  <si>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</si>
  <si>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</si>
  <si>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</si>
  <si>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</si>
  <si>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</si>
  <si>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</si>
  <si>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</si>
  <si>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</si>
  <si>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</si>
  <si>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</si>
  <si>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</si>
  <si>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</si>
  <si>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</si>
  <si>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</si>
  <si>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</si>
  <si>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</si>
  <si>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</si>
  <si>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</si>
  <si>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</si>
  <si>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</si>
  <si>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</si>
  <si>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</si>
  <si>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</si>
  <si>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</si>
  <si>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</si>
  <si>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Előző évi működési célú előirányzat-maradvány, pénzmaradvány átadás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</si>
  <si>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</si>
  <si>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</si>
  <si>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</si>
  <si>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</si>
  <si>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</si>
  <si>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</si>
  <si>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</si>
  <si>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</si>
  <si>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</si>
  <si>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</si>
  <si>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</si>
  <si>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</si>
  <si>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</si>
  <si>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</si>
  <si>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</si>
  <si>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</si>
  <si>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</si>
  <si>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</si>
  <si>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</si>
  <si>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</si>
  <si>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</si>
  <si>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</si>
  <si>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</si>
  <si>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</si>
  <si>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</si>
  <si>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</si>
  <si>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</si>
  <si>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</si>
  <si>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</si>
  <si>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</si>
  <si>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</si>
  <si>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</si>
  <si>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</si>
  <si>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Működési bevételek és működési kiadások különbözete: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</si>
  <si>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</si>
  <si>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</si>
  <si>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</si>
  <si>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</si>
  <si>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</si>
  <si>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</si>
  <si>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</si>
  <si>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</si>
  <si>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</si>
  <si>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</si>
  <si>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</si>
  <si>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</si>
  <si>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</si>
  <si>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</si>
  <si>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</si>
  <si>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</si>
  <si>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</si>
  <si>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</si>
  <si>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</si>
  <si>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</si>
  <si>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</si>
  <si>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</si>
  <si>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</si>
  <si>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</si>
  <si>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</si>
  <si>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</si>
  <si>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</si>
  <si>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</si>
  <si>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</si>
  <si>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</si>
  <si>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</si>
  <si>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</si>
  <si>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</si>
  <si>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</si>
  <si>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</si>
  <si>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</si>
  <si>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</si>
  <si>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</si>
  <si>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</si>
  <si>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</si>
  <si>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</si>
  <si>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</si>
  <si>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</si>
  <si>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</si>
  <si>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</si>
  <si>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</si>
  <si>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</si>
  <si>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</si>
  <si>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</si>
  <si>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</si>
  <si>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</si>
  <si>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</si>
  <si>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</si>
  <si>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</si>
  <si>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</si>
  <si>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</si>
  <si>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</si>
  <si>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</si>
  <si>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</si>
  <si>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</si>
  <si>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</si>
  <si>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</si>
  <si>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</si>
  <si>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</si>
  <si>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</si>
  <si>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</si>
  <si>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Közfoglalkoztatás éves létszám-előirányzata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</si>
  <si>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</si>
  <si>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</si>
  <si>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</si>
  <si>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</si>
  <si>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</si>
  <si>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</si>
  <si>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</si>
  <si>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</si>
  <si>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</si>
  <si>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</si>
  <si>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</si>
  <si>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</si>
  <si>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</si>
  <si>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</si>
  <si>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</si>
  <si>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</si>
  <si>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</si>
  <si>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</si>
  <si>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</si>
  <si>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</si>
  <si>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</si>
  <si>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</si>
  <si>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</si>
  <si>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</si>
  <si>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</si>
  <si>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</si>
  <si>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</si>
  <si>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Működési célú pénzeszköz-átadások részletezése</t>
  </si>
  <si>
    <t>Bursa Hungarica ösztöndíj-támogatás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</si>
  <si>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</si>
  <si>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</si>
  <si>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</si>
  <si>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</si>
  <si>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</si>
  <si>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</si>
  <si>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</si>
  <si>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</si>
  <si>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</si>
  <si>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 xml:space="preserve"> működési és felhalmozási célú bevételi éskiadási előirányzatok bemutatása tájékoztató jelleggel</t>
  </si>
  <si>
    <t>Felhalmozási kiadások feladatonként</t>
  </si>
  <si>
    <t xml:space="preserve">Adott, közvetett támogatások  </t>
  </si>
  <si>
    <t>Működési célú hitel törlesztése (éven túli)</t>
  </si>
  <si>
    <t>Működési célú hitel törlesztése (folyószámlahitel)</t>
  </si>
  <si>
    <t>Tartalék</t>
  </si>
  <si>
    <t>Bérhitel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</si>
  <si>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</si>
  <si>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</si>
  <si>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</si>
  <si>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</si>
  <si>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</si>
  <si>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</si>
  <si>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2.melléklet</t>
  </si>
  <si>
    <t>3 melléklet</t>
  </si>
  <si>
    <t>8.melléklet</t>
  </si>
  <si>
    <t>10.melléklet</t>
  </si>
  <si>
    <t>Szentgyörgyvár Község  Önkormányzata</t>
  </si>
  <si>
    <t>Szentgyörgyvár Község Önkormányzata</t>
  </si>
  <si>
    <t>Szentgyörgyvárért Egyesület</t>
  </si>
  <si>
    <t>Falugondnoki  szolg.</t>
  </si>
  <si>
    <t>Közcélú foglalkoztatás</t>
  </si>
  <si>
    <t>7.melléklet</t>
  </si>
  <si>
    <t>11.melléklet</t>
  </si>
  <si>
    <t>011130</t>
  </si>
  <si>
    <t>107055</t>
  </si>
  <si>
    <t>041233</t>
  </si>
  <si>
    <t>Kézi gyógyszertári szolgáltatás</t>
  </si>
  <si>
    <t>Előző évi állami támog visszafizetése</t>
  </si>
  <si>
    <t>Önkormányzat eredeti</t>
  </si>
  <si>
    <t>Kötelező feladat eredeti</t>
  </si>
  <si>
    <t>Önként vállalt feladat eredeti</t>
  </si>
  <si>
    <t>X.</t>
  </si>
  <si>
    <t>ÁHT-n belüli megelőlegezés visszafizetése</t>
  </si>
  <si>
    <t>ÁFA</t>
  </si>
  <si>
    <t>Helyi önkormányzatok kiegészítő támogatása</t>
  </si>
  <si>
    <t>Kistérségi támogatás ( belső ellenőr)</t>
  </si>
  <si>
    <t>Mentőállomásért Alapítvány</t>
  </si>
  <si>
    <t>Kiadásainak és bevételeinek fő összesítője költségvetési évet követő három év</t>
  </si>
  <si>
    <t>Előző évi állami támogatás visszafizetés</t>
  </si>
  <si>
    <t>Felhalmozási célú támogatásérétkű kiadás</t>
  </si>
  <si>
    <t>ÁFA visszaigénylés</t>
  </si>
  <si>
    <t>Felügyeleti szervtől kapott támogatás</t>
  </si>
  <si>
    <t>Felügyeleti szervi támogatás</t>
  </si>
  <si>
    <t xml:space="preserve">Lakásfenntartási támogatás  </t>
  </si>
  <si>
    <t>Gyógyszer támogatás</t>
  </si>
  <si>
    <t>Iskolakezdési támogatás</t>
  </si>
  <si>
    <t>Települési támogatás</t>
  </si>
  <si>
    <t>Rendkívüli települési támogatás</t>
  </si>
  <si>
    <t>Egyéb rendkívüli települési támogatás</t>
  </si>
  <si>
    <t>Települési + rendkívüli települési támogatás</t>
  </si>
  <si>
    <t>Zalavíz Zrt.</t>
  </si>
  <si>
    <t>Mindösszesen</t>
  </si>
  <si>
    <t>Települési Önk.tám. TOÖSZ tagdíj</t>
  </si>
  <si>
    <t>Zalai Dombhátak LEADER Egyesület</t>
  </si>
  <si>
    <t>Felhalmozási kiadások</t>
  </si>
  <si>
    <t>összeg</t>
  </si>
  <si>
    <t>Vasárnapi reggel előfizetése, Kis-Balaton könyv, Dél-Pannonhát</t>
  </si>
  <si>
    <t>Zalai Hírlap és Magyar konyha előfizetése</t>
  </si>
  <si>
    <t>szakmai anyagok beszerzése összesen (K311)</t>
  </si>
  <si>
    <t>nyomtatvány, kp.átutalási megbízás</t>
  </si>
  <si>
    <t>tintaparton, toner</t>
  </si>
  <si>
    <t>tisztitószer</t>
  </si>
  <si>
    <t>üzemanyagok</t>
  </si>
  <si>
    <t>egyéb anyagbeszerzések</t>
  </si>
  <si>
    <t>virágok (árvácskas, egynyári növények)</t>
  </si>
  <si>
    <t>Üzemeltetési anyagok beszerzése összesen  (K312)</t>
  </si>
  <si>
    <t>KÉSZLETBESZERZÉS (K31)</t>
  </si>
  <si>
    <t>weboldal szolgáltatás: Localinfo</t>
  </si>
  <si>
    <t>informatikai eszk. Karbantartás:TC Informatika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</si>
  <si>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</si>
  <si>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</si>
  <si>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</si>
  <si>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</si>
  <si>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</si>
  <si>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</si>
  <si>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</si>
  <si>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díjak: légvár bérlése (K333)</t>
  </si>
  <si>
    <t>Karbantartási, kisjavítási szolgáltatások (K334)</t>
  </si>
  <si>
    <t>Bankköltségek, postai közreműködői díjak (K337)</t>
  </si>
  <si>
    <t>Egyéb szolgáltatások összesen (K337)</t>
  </si>
  <si>
    <t>Szolgáltatási kiadások (K33)</t>
  </si>
  <si>
    <t>Kiküldetések kiadásai (K341)</t>
  </si>
  <si>
    <t>Reklám és propaganda kiadások (K342)</t>
  </si>
  <si>
    <t>Kiküldetések, reklám- és propagandakiadások (K34)</t>
  </si>
  <si>
    <t>Működési célú általános forgalmi adó (K351)</t>
  </si>
  <si>
    <t>Egyéb dologi kiadás (K355)</t>
  </si>
  <si>
    <t>Különféle befizetések és egyéb dologi kiadások (K35)</t>
  </si>
  <si>
    <t>DOLOGI KIADÁSOK ÖSSZESEN (K3)</t>
  </si>
  <si>
    <t>12.melléklet</t>
  </si>
  <si>
    <t>építmény</t>
  </si>
  <si>
    <t>B34-01</t>
  </si>
  <si>
    <t>magánszk.</t>
  </si>
  <si>
    <t>B34-03</t>
  </si>
  <si>
    <t>iparűzés</t>
  </si>
  <si>
    <t>B351-07</t>
  </si>
  <si>
    <t>talajtrh.</t>
  </si>
  <si>
    <t>B355-09</t>
  </si>
  <si>
    <t>gépjármű</t>
  </si>
  <si>
    <t>B354-01</t>
  </si>
  <si>
    <t>pótlék</t>
  </si>
  <si>
    <t>B36-12</t>
  </si>
  <si>
    <t>bírság</t>
  </si>
  <si>
    <t>Jövedéki adó</t>
  </si>
  <si>
    <t>B405</t>
  </si>
  <si>
    <t>B8131</t>
  </si>
  <si>
    <t>gépjármű szla</t>
  </si>
  <si>
    <t>Bruttó</t>
  </si>
  <si>
    <t>közfoglalk.</t>
  </si>
  <si>
    <t>költségvetési szla</t>
  </si>
  <si>
    <t>Pénztár</t>
  </si>
  <si>
    <t>Helyi önkormányzat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</si>
  <si>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</si>
  <si>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</si>
  <si>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</si>
  <si>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</si>
  <si>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</si>
  <si>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</si>
  <si>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</si>
  <si>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</si>
  <si>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 xml:space="preserve">Szociális ágazati és kiegészítő pótlék </t>
  </si>
  <si>
    <t>B115</t>
  </si>
  <si>
    <t>Rendszeres gyermekvédelmi kedvezmény</t>
  </si>
  <si>
    <t>B16-02</t>
  </si>
  <si>
    <t>lakbér</t>
  </si>
  <si>
    <t>B402</t>
  </si>
  <si>
    <t>helységbérletek, sírhely</t>
  </si>
  <si>
    <t xml:space="preserve">BEVÉTELEK ÖSSZESEN: </t>
  </si>
  <si>
    <t>iparűzési szla</t>
  </si>
  <si>
    <t xml:space="preserve">pótlék </t>
  </si>
  <si>
    <t>Külterületi helyi közutak, Zártkerti pályázat szla</t>
  </si>
  <si>
    <t>Humán szolgáltatások pályázat szla</t>
  </si>
  <si>
    <t xml:space="preserve">Beruházások, beszerzések (VPG-7-2-1 Külterületes utak fejlesztése: </t>
  </si>
  <si>
    <t>Egyéb forrás (pénzmaradványban)</t>
  </si>
  <si>
    <t>Egyéb szervezetek támogatása</t>
  </si>
  <si>
    <t>Rovatszám</t>
  </si>
  <si>
    <t>Tartozik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</si>
  <si>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</si>
  <si>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</si>
  <si>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</si>
  <si>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</si>
  <si>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</si>
  <si>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</si>
  <si>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</si>
  <si>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</si>
  <si>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</si>
  <si>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</si>
  <si>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</si>
  <si>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</si>
  <si>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</si>
  <si>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 xml:space="preserve"> eredeti előirányzat (eFt)</t>
  </si>
  <si>
    <t>Kötött céltartalék</t>
  </si>
  <si>
    <t xml:space="preserve">Általános  céltartalék </t>
  </si>
  <si>
    <t xml:space="preserve">Dologi és egyéb folyó kiadásai intézményi és összesített kimutatása </t>
  </si>
  <si>
    <t>Szakmai anyagok beszerzése</t>
  </si>
  <si>
    <t>311</t>
  </si>
  <si>
    <t>Üzemeltetési anyagok beszerzése</t>
  </si>
  <si>
    <t>312</t>
  </si>
  <si>
    <t>5102</t>
  </si>
  <si>
    <t>Árubeszerzés</t>
  </si>
  <si>
    <t>313</t>
  </si>
  <si>
    <t>5113</t>
  </si>
  <si>
    <t>Készletbeszerzés (01+…+3)</t>
  </si>
  <si>
    <t>5103</t>
  </si>
  <si>
    <t>Informatikai szolgáltatások igénybevétele</t>
  </si>
  <si>
    <t>321</t>
  </si>
  <si>
    <t>Egyéb kommunikációs szolgáltatások</t>
  </si>
  <si>
    <t>322</t>
  </si>
  <si>
    <t>Kommunikációs szolgáltatások (5+6)</t>
  </si>
  <si>
    <t>Közüzemi díjak</t>
  </si>
  <si>
    <t>331</t>
  </si>
  <si>
    <t>Vásárolt élelmezés</t>
  </si>
  <si>
    <t>332</t>
  </si>
  <si>
    <t>5108</t>
  </si>
  <si>
    <t>Bérleti és lízing díjak</t>
  </si>
  <si>
    <t>333</t>
  </si>
  <si>
    <t>ebből PPP alapuló szerződéses konstrukció</t>
  </si>
  <si>
    <t>5110</t>
  </si>
  <si>
    <t>Karbantartási kisjavítási szolgáltatások</t>
  </si>
  <si>
    <t>334</t>
  </si>
  <si>
    <t>Közvetített szolgáltatások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</si>
  <si>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</si>
  <si>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</si>
  <si>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</si>
  <si>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</si>
  <si>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</si>
  <si>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</si>
  <si>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</si>
  <si>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</si>
  <si>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</si>
  <si>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</si>
  <si>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</si>
  <si>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</si>
  <si>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</si>
  <si>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</si>
  <si>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</si>
  <si>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</si>
  <si>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</si>
  <si>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</si>
  <si>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</si>
  <si>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</si>
  <si>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</si>
  <si>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</si>
  <si>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</si>
  <si>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</si>
  <si>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</si>
  <si>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</si>
  <si>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</si>
  <si>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</si>
  <si>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</si>
  <si>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</si>
  <si>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</si>
  <si>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</si>
  <si>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</si>
  <si>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</si>
  <si>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</si>
  <si>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</si>
  <si>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</si>
  <si>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</si>
  <si>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</si>
  <si>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</si>
  <si>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</si>
  <si>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</si>
  <si>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</si>
  <si>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</si>
  <si>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</si>
  <si>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</si>
  <si>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</si>
  <si>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</si>
  <si>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</si>
  <si>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</si>
  <si>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</si>
  <si>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</si>
  <si>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</si>
  <si>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</si>
  <si>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</si>
  <si>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</si>
  <si>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</si>
  <si>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</si>
  <si>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</si>
  <si>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</si>
  <si>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</si>
  <si>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</si>
  <si>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</si>
  <si>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Kiadás vonzata évenként</t>
  </si>
  <si>
    <t>2020.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</si>
  <si>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</si>
  <si>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</si>
  <si>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</si>
  <si>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</si>
  <si>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</si>
  <si>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>Egyéb</t>
  </si>
  <si>
    <t>Összesen (1+4+7+9+11)</t>
  </si>
  <si>
    <t>2021.</t>
  </si>
  <si>
    <t>Kötött tartalék tételes kimutatása</t>
  </si>
  <si>
    <t>Pénzmaradvány tételes kimutatása</t>
  </si>
  <si>
    <t>Működési</t>
  </si>
  <si>
    <t>Szabad pénzmaradvány</t>
  </si>
  <si>
    <t>EFOP 1.5.2. Humán szolgáltatások fejlesztése pályázat 2018. december 31-i egyenlege</t>
  </si>
  <si>
    <t>17. számú melléklet</t>
  </si>
  <si>
    <t>16. számú melléklet</t>
  </si>
  <si>
    <t xml:space="preserve">2020 ÉVI KÖLTSÉGVETÉS  </t>
  </si>
  <si>
    <t>2020 évi előirányzat (Ft)</t>
  </si>
  <si>
    <t>Kötött tartalék, koncessziós díj+helyiadók hátralék</t>
  </si>
  <si>
    <t>Államháztartáson belüli megelőlegezés visszafizetése</t>
  </si>
  <si>
    <t>Kötött tartalék</t>
  </si>
  <si>
    <t>Államháztartáson belüli megelőlegezések visszafizetése</t>
  </si>
  <si>
    <t>2020 Évi költségvetés</t>
  </si>
  <si>
    <t>6. számú melléklet</t>
  </si>
  <si>
    <t>Felhasználás
2019. XII.31-ig</t>
  </si>
  <si>
    <t>2020. évi eredeti  előirányzat</t>
  </si>
  <si>
    <t>Kulturház felújítás</t>
  </si>
  <si>
    <t>Beruházási kiadások célonként</t>
  </si>
  <si>
    <t>ZP pályázat: Zárkeret szegélyező útfelújítás és külterületi vadkerítés létesítése</t>
  </si>
  <si>
    <t xml:space="preserve">Urnafal </t>
  </si>
  <si>
    <t>Buszmegálló építése</t>
  </si>
  <si>
    <t>Ingatlan vásárlás (ház)</t>
  </si>
  <si>
    <t>4. számú melléklet</t>
  </si>
  <si>
    <t>Köztemetés</t>
  </si>
  <si>
    <t>K48</t>
  </si>
  <si>
    <t>Kistérségi támogatás (házi segítségnyújtás,)</t>
  </si>
  <si>
    <t>Kistérségi támogatás (tagdíj)</t>
  </si>
  <si>
    <t>Kistérségi támogatás (család és gyermekjóléti)</t>
  </si>
  <si>
    <t>Kistérségi támogatás (jelzőrendszeres)</t>
  </si>
  <si>
    <t xml:space="preserve">sÁRMELLÉKi Közös HivATAL ÉVES támogatás </t>
  </si>
  <si>
    <t>Sármelléki Önk. Részére iskolás, óvodás gyerekek támogatása</t>
  </si>
  <si>
    <t>Rákóczi Szövetség támogatása</t>
  </si>
  <si>
    <t>Zala Megyei Polgári Védelmi Szövetség támogatása</t>
  </si>
  <si>
    <t>Kis Példaképeink ösztöndíj</t>
  </si>
  <si>
    <t>Működési és felhalmozási célú pénzeszköz átadás  összesen</t>
  </si>
  <si>
    <t>K506</t>
  </si>
  <si>
    <t>K512</t>
  </si>
  <si>
    <t xml:space="preserve"> 2020. évi költségevetés</t>
  </si>
  <si>
    <t xml:space="preserve">2020 év Költségvetés </t>
  </si>
  <si>
    <t>2019-ig kifizetett</t>
  </si>
  <si>
    <t>2022.</t>
  </si>
  <si>
    <t>2023. 
után</t>
  </si>
  <si>
    <t>2020. ÉVI KÖLTSÉGVETÉS</t>
  </si>
  <si>
    <t>Községgazdálkodás</t>
  </si>
  <si>
    <t xml:space="preserve">2020. ÉVI KÖLTSÉGVETÉS  </t>
  </si>
  <si>
    <t>063080 Vízell.kapcs közmű építés, karbant. kezelés   ellátás</t>
  </si>
  <si>
    <t>3811031     051030  Települési hulladék begyűjt.száll.</t>
  </si>
  <si>
    <t>5220011     045160    Közutak, hidak üzemeltetése</t>
  </si>
  <si>
    <t xml:space="preserve">    045161    Kerékpárútak üzemeltetése, fenntartása</t>
  </si>
  <si>
    <t xml:space="preserve">       107055 Falugondnoki, tanyagondnoki szolgáltatás</t>
  </si>
  <si>
    <t xml:space="preserve">        107051 Szociális ékeztetés</t>
  </si>
  <si>
    <t xml:space="preserve">        104037 Intézményen kívüli gyerek- étkeztetés</t>
  </si>
  <si>
    <t>8130001        066010      Zöldterület-kezelés</t>
  </si>
  <si>
    <t>8411261        011130     Önkormányzati jogalkotás</t>
  </si>
  <si>
    <t>8414021        064010       Közvilágítás</t>
  </si>
  <si>
    <t>8414031        066020            községgazdálkodás</t>
  </si>
  <si>
    <t>8621011 072111       Háziorvosi alapellátás</t>
  </si>
  <si>
    <t xml:space="preserve"> 072112       Háziorvosi ügyelet</t>
  </si>
  <si>
    <t>072312 Fogászati ellátás</t>
  </si>
  <si>
    <t>082091 közművelődés - közösségi és társadalmi fejlesztés</t>
  </si>
  <si>
    <t>082092 közművelődés-hagyományos közösségi</t>
  </si>
  <si>
    <t xml:space="preserve">    041233         közhasznú foglalkoztatás</t>
  </si>
  <si>
    <t xml:space="preserve">   013320     Köztemető fenntartása</t>
  </si>
  <si>
    <t>forintban</t>
  </si>
  <si>
    <t>Kataszteri Vagyongazdálkodási rendszer:E-KATA</t>
  </si>
  <si>
    <t>Üzemorvosi díj, ügyelet, fogászati ügyelet, , egyéb díjak (K336)</t>
  </si>
  <si>
    <t>TOP 2.1.3-16 infr.fej. pályázat:Tanácsadási szolg.díj_GÓZON (K336)</t>
  </si>
  <si>
    <t>VP6-19.2.1-42-5-17:Helyi értékekre alapuló térségi együttműködés turisztikai célú fejlesztése pályázat elkészítése:RF Consulting Kft. (K337)</t>
  </si>
  <si>
    <t>2020 év</t>
  </si>
  <si>
    <t>egyéb közhatalmi bevételek</t>
  </si>
  <si>
    <t>Előző évi helyesbített pénzmaradvány</t>
  </si>
  <si>
    <t>Elkülönített állami pénzalaptól átvett pénzeszköz:közfoglalkoztatottak tám.</t>
  </si>
  <si>
    <t>B16</t>
  </si>
  <si>
    <t>közvetített szolgáltások ellenértéke</t>
  </si>
  <si>
    <t>egyéb működési bevétel</t>
  </si>
  <si>
    <t>biztosító által visszatérített díj</t>
  </si>
  <si>
    <t>B411</t>
  </si>
  <si>
    <t>B52</t>
  </si>
  <si>
    <t xml:space="preserve">Államháztartáson belüli megelőlegezések </t>
  </si>
  <si>
    <t>B814</t>
  </si>
  <si>
    <t>MFP: Orvosi eszköz besz. Pályázat</t>
  </si>
  <si>
    <t>MFP: Temető fejlesztési Pályázat</t>
  </si>
  <si>
    <t>MFP: A nemzeti és helyi identitástudat erősítése:kulturház felújítása</t>
  </si>
  <si>
    <t>Felhalmozási célú pénzeszközátvétel VP6 7.2.1-7.4.1.2 külter.utak fejl.</t>
  </si>
  <si>
    <t>ZP pályázat: útfelújítás és külter. Vadkerítés létesítés</t>
  </si>
  <si>
    <t>Szentgyörgyvár Község Önkormányzat 2020. évi költségvetése</t>
  </si>
  <si>
    <t xml:space="preserve">Kötelezettségekkel terhelt pénzmaradvány Felhalmozási </t>
  </si>
  <si>
    <t>Pénztár 2019. december 31-i egyenlege</t>
  </si>
  <si>
    <t xml:space="preserve">Költségvetési számla 2019. december 31-i egyenlege </t>
  </si>
  <si>
    <t>Gépjárműadó számla 2019. december 31-i egyenlege</t>
  </si>
  <si>
    <t>Viziközmű számla 2019. december 31-i egyenlege</t>
  </si>
  <si>
    <t>Közfoglalkoztatási  számla 2019 december 31-i egyenlege</t>
  </si>
  <si>
    <t>Kötelezettségekkel terhelt pénzmaradvány Felhalmozási (Kötött)</t>
  </si>
  <si>
    <t>066020</t>
  </si>
  <si>
    <t>2020 évi módosított előirányzat (Ft)</t>
  </si>
  <si>
    <t>eredeti előirányzat</t>
  </si>
  <si>
    <t>módosított előirányzat</t>
  </si>
  <si>
    <t>eredeti</t>
  </si>
  <si>
    <t>előirányzat</t>
  </si>
  <si>
    <t>módosított</t>
  </si>
  <si>
    <t>ÁHT-n belüli megelőlegezés</t>
  </si>
  <si>
    <t>Előző évi állami támogatás visszafizetése</t>
  </si>
  <si>
    <t>2020. évi eredeti előirányzat</t>
  </si>
  <si>
    <t>2020. évi módosított előirányzat</t>
  </si>
  <si>
    <t xml:space="preserve">Önkormányzatok által folyósított ellátások részletezése                </t>
  </si>
  <si>
    <t>5. számú melléklet</t>
  </si>
  <si>
    <t>2020. évi eredeti előírányzat</t>
  </si>
  <si>
    <t>2020. évi módosított előírányzat</t>
  </si>
  <si>
    <t>2020. évi módosított  előirányzat</t>
  </si>
  <si>
    <t>Magyar Falu program: Kulturház épületének energetikai korzserűsítése, felújítása</t>
  </si>
  <si>
    <t>Magyar Falu program: Temető fejlesztése, felújítása</t>
  </si>
  <si>
    <t>Beltéri vitrin economy beszerzése</t>
  </si>
  <si>
    <t xml:space="preserve">Szentgyörgyvár Község Önkormányzat 2020. évi dologi kiadás </t>
  </si>
  <si>
    <t>Terem bérleti díja  (K333)</t>
  </si>
  <si>
    <t>Kéményseprés, rovarítás, hulladékszállítás, zöldter.kezelés, biztosítási díjak,tűzvédelmi, munkavédelmi oktatás (K337)</t>
  </si>
  <si>
    <t>szennyvízszállító rendelkezésre állása:Talajerőgazdálkodási Kft.</t>
  </si>
  <si>
    <t>TÖOSz 2020. évi tagdíj</t>
  </si>
  <si>
    <t>igzgatási szolgáltatási díj:NÉBIH</t>
  </si>
  <si>
    <t>eljárási szolgáltatási díj:ZM Földhivatal</t>
  </si>
  <si>
    <t>1153/7 hrsz földmérés:Molnár Szilárd</t>
  </si>
  <si>
    <t>Magyar Falu Program:Önkormányzati utak fejlesztése pályázat, tanácsadás: RF Consulting Kft. (K337)</t>
  </si>
  <si>
    <t>950 hrsz-ú út felújítási műszaki dokumetáció összeállítása:Pannonway Építő Kft.</t>
  </si>
  <si>
    <t>Magyar Falu program 20:  közösségi tér ki/átalakítás foglalkoztatás előkészítése tevékenység :RF Consulting Kft. (K337)</t>
  </si>
  <si>
    <t>Magyar Falu program 19:  orvosi eszköz projekt menedzsment vékenység :RF Consulting Kft. (K337)</t>
  </si>
  <si>
    <t>Veszélyes anyagok elszállítása (azbeszt) és szállítási költségek (K337)</t>
  </si>
  <si>
    <t>13.b. számú melléklet</t>
  </si>
  <si>
    <t>Eredeti előirányzat Szentgyörgyvár  öszesen</t>
  </si>
  <si>
    <t>Módosított előirányzat Szentgyörgyvár  öszesen</t>
  </si>
  <si>
    <t xml:space="preserve"> </t>
  </si>
  <si>
    <t>13.a.számú melléklet</t>
  </si>
  <si>
    <t>Állami támogatás, átvett pénzeszköz  összesen:</t>
  </si>
  <si>
    <t>Ellátási díjak bevétele</t>
  </si>
  <si>
    <t>egyéb kamat, kamatbevételek</t>
  </si>
  <si>
    <t>B4082</t>
  </si>
  <si>
    <t>DRV Zrt-től átvett 2019.évi lakossági víz és csatornaszolg tám. Tőke+kamat</t>
  </si>
  <si>
    <t>B65</t>
  </si>
  <si>
    <t>B25</t>
  </si>
  <si>
    <t>ZP -1-2017/2627 pályázati tám. Végelszámolás út és gyümlcsös</t>
  </si>
  <si>
    <t>ZP-1-2019/5298 tám:Zártkerti pályázat</t>
  </si>
  <si>
    <t>Egyéb felhlmozási bevétel ÁHT-n belül összesen:</t>
  </si>
  <si>
    <t>2020. évi költségvetés módosítása</t>
  </si>
  <si>
    <t>2020.  ÉVI KÖLTSÉGVETÉS módosítása</t>
  </si>
  <si>
    <t>2020 Évi költségvetés módosítása</t>
  </si>
  <si>
    <t xml:space="preserve">Szentgyörgyvár Község Önkormányzata </t>
  </si>
  <si>
    <t>2020. évi költségvetés módosítása ELŐIRÁNYZAT-FELHASZNÁLÁSI TERV</t>
  </si>
  <si>
    <t>módosítása</t>
  </si>
  <si>
    <t>módosított előirányzat (eFt)</t>
  </si>
  <si>
    <t>Működési célú pénzeszközátadás AHT-n kívülre és belülre</t>
  </si>
  <si>
    <t>Felújítási kiadások célonként (K7)</t>
  </si>
  <si>
    <t>Zalavíz Zrt. Ívóvízszivattyú felújítása</t>
  </si>
  <si>
    <t>Magyar Falu program: nemzeti identitástudat pályázat</t>
  </si>
  <si>
    <t>Ingatlanok beszerzése, létesítése összesen (K62)</t>
  </si>
  <si>
    <t>4 db szemetes kuka beszerzése</t>
  </si>
  <si>
    <t>antennatartó erkélykar, falikar beszerzése</t>
  </si>
  <si>
    <t>2 db közvilágítási lámpatestek beszerzése</t>
  </si>
  <si>
    <t>MFP Közösségi tér pályázat eszközbeszerzések</t>
  </si>
  <si>
    <t>Egyéb tárgyi eszközök beszerzése összesen (K64)</t>
  </si>
  <si>
    <t>Településképi vélemény:Lukács Beáta (immateriális javak K61)</t>
  </si>
  <si>
    <t>Immateriális javak összesen (K61)</t>
  </si>
  <si>
    <t xml:space="preserve">2020. ÉVI KÖLTSÉGVETÉS </t>
  </si>
  <si>
    <t>Idősek rendkívüli települési támogatás  10000/fő  (17000 Ft/fő)</t>
  </si>
  <si>
    <t>Gyerekek rendkívüli települési támogatás  15000/fő ( 20 000 Ft/fő)</t>
  </si>
  <si>
    <t xml:space="preserve">2020. ÉVI módosított KÖLTSÉGVETÉS </t>
  </si>
  <si>
    <t>Elkülönített állami pénzalapnak átadott pénzeszközátadás: 2019. évi közfoglakoztatottak támogatás visszafizetése</t>
  </si>
  <si>
    <t>Sármelléki Önk. Részére közösségi színtér költségeihez hozzájárulás</t>
  </si>
  <si>
    <t>3. számú melléklet</t>
  </si>
  <si>
    <t xml:space="preserve">Szentgyörgyvár Község Önkormányzat egyéb bevételei 2020 évi </t>
  </si>
  <si>
    <t>Működési célú költségvetési támogatások és kiegészítő támogatások (szoc.tüzifa)</t>
  </si>
  <si>
    <t xml:space="preserve">EFOP 1.5.2 Humán szolg. Pályázat </t>
  </si>
  <si>
    <t>Nyári diákmunka támogatása: ZM Kormányhivataltól átvett pénzeszköz</t>
  </si>
  <si>
    <t>Viziközművek Állami Rekonstrukciós Alaptól kapott támogatás: engedményezés</t>
  </si>
  <si>
    <t>MFP: támogatás: Közösségi tér - ki/átalakítás és foglalkoztatás elősegítése</t>
  </si>
  <si>
    <t>Tulajdonosi bevételek</t>
  </si>
  <si>
    <t>B404</t>
  </si>
  <si>
    <t>062020 Településfejlesztési projektek és támogatások</t>
  </si>
  <si>
    <t>Eredeti előirányzat       Éves létszám-előirányzat  (fő)</t>
  </si>
  <si>
    <t>Módosított előirányzat       Éves létszám-előirányzat  (fő)</t>
  </si>
  <si>
    <t>2020. év</t>
  </si>
  <si>
    <t xml:space="preserve">   042120      Mezőgazdasági támogatások</t>
  </si>
  <si>
    <t>MFP-FFt/2019.pályázat:Sztgyvár 264.hrsz. műszaki ell.feladatok (K336)</t>
  </si>
  <si>
    <t>MFP-NHI/2019..pályázat:Sztgyvár Kossuth 50. műszaki ell.fel. (K336)</t>
  </si>
  <si>
    <t>Faluközpont vízrendezése,engedélyezési terv (K336)</t>
  </si>
  <si>
    <t xml:space="preserve"> TOP 2.1.3-15 Tel.környezetvéd.infr.fejl.pályázat sikerdíja (K337)</t>
  </si>
  <si>
    <t>2020évi tagdíj:Hévíz-Balaton Zalai Dombhátak Leader Egyesület (K337)</t>
  </si>
  <si>
    <t>rendezvény szerv.fel.:Turisztikai program (K337)</t>
  </si>
  <si>
    <t xml:space="preserve">Személyi juttatásai és munkaadókat terhelő járulékai intézményi és összesített kimutatása </t>
  </si>
  <si>
    <t>14. számú melléklet</t>
  </si>
  <si>
    <t>Szentgyörgyvár összesen</t>
  </si>
  <si>
    <t>107055 Falugondnoki szolgálat</t>
  </si>
  <si>
    <t>041233 közfoglalkoz-tatás</t>
  </si>
  <si>
    <t>066020 Község-gazdálkodás</t>
  </si>
  <si>
    <t>önk.ig.tev.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</si>
  <si>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</si>
  <si>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</si>
  <si>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</si>
  <si>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</si>
  <si>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</si>
  <si>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 xml:space="preserve"> választott tisztségviselők juttatásai</t>
  </si>
  <si>
    <t>munkavégzésre irányuló egyéb jogv.megbízásidíjai)</t>
  </si>
  <si>
    <t>egyéb külső személyi juttatás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</si>
  <si>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</si>
  <si>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</si>
  <si>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</si>
  <si>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</si>
  <si>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</si>
  <si>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</si>
  <si>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2020. évi költségvetés módosítás</t>
  </si>
  <si>
    <t>1101</t>
  </si>
  <si>
    <t>1103</t>
  </si>
  <si>
    <t>1107</t>
  </si>
  <si>
    <t>1109</t>
  </si>
  <si>
    <t>1113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</si>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</sst>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€_-;\-* #,##0.00\ _€_-;_-* &quot;-&quot;??\ _€_-;_-@_-"/>
    <numFmt numFmtId="167" formatCode="#,##0\ _F_t"/>
    <numFmt numFmtId="168" formatCode="0__"/>
    <numFmt numFmtId="169" formatCode="#,###"/>
    <numFmt numFmtId="170" formatCode="_-* #,##0\ _F_t_-;\-* #,##0\ _F_t_-;_-* &quot;-&quot;??\ _F_t_-;_-@_-"/>
    <numFmt numFmtId="171" formatCode="0.000"/>
    <numFmt numFmtId="172" formatCode="#"/>
  </numFmts>
  <fonts count="9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4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Arial CE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2"/>
      <color indexed="36"/>
      <name val="Calibri"/>
      <family val="2"/>
    </font>
    <font>
      <sz val="10"/>
      <color indexed="36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Arial CE"/>
      <family val="0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rgb="FF7030A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7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8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67" fontId="4" fillId="0" borderId="11" xfId="42" applyNumberFormat="1" applyFont="1" applyFill="1" applyBorder="1" applyAlignment="1">
      <alignment horizontal="center"/>
    </xf>
    <xf numFmtId="167" fontId="5" fillId="0" borderId="12" xfId="61" applyNumberFormat="1" applyFont="1" applyBorder="1" applyAlignment="1">
      <alignment horizontal="center" vertical="center"/>
      <protection/>
    </xf>
    <xf numFmtId="167" fontId="5" fillId="0" borderId="11" xfId="42" applyNumberFormat="1" applyFont="1" applyFill="1" applyBorder="1" applyAlignment="1">
      <alignment horizontal="center"/>
    </xf>
    <xf numFmtId="0" fontId="5" fillId="0" borderId="0" xfId="61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167" fontId="7" fillId="0" borderId="11" xfId="42" applyNumberFormat="1" applyFont="1" applyFill="1" applyBorder="1" applyAlignment="1">
      <alignment horizontal="center"/>
    </xf>
    <xf numFmtId="0" fontId="5" fillId="24" borderId="10" xfId="61" applyFont="1" applyFill="1" applyBorder="1" applyAlignment="1">
      <alignment horizontal="center" vertical="center"/>
      <protection/>
    </xf>
    <xf numFmtId="167" fontId="5" fillId="24" borderId="12" xfId="42" applyNumberFormat="1" applyFont="1" applyFill="1" applyBorder="1" applyAlignment="1">
      <alignment horizontal="center"/>
    </xf>
    <xf numFmtId="167" fontId="5" fillId="24" borderId="11" xfId="42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13" xfId="0" applyFont="1" applyBorder="1" applyAlignment="1">
      <alignment horizontal="centerContinuous"/>
    </xf>
    <xf numFmtId="168" fontId="13" fillId="0" borderId="0" xfId="0" applyNumberFormat="1" applyFont="1" applyAlignment="1">
      <alignment/>
    </xf>
    <xf numFmtId="0" fontId="7" fillId="0" borderId="0" xfId="63" applyFont="1" applyBorder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2" fillId="0" borderId="12" xfId="63" applyFont="1" applyBorder="1" applyAlignment="1">
      <alignment vertical="center"/>
      <protection/>
    </xf>
    <xf numFmtId="0" fontId="17" fillId="24" borderId="12" xfId="63" applyFont="1" applyFill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167" fontId="4" fillId="0" borderId="14" xfId="61" applyNumberFormat="1" applyFont="1" applyBorder="1" applyAlignment="1">
      <alignment horizontal="center"/>
      <protection/>
    </xf>
    <xf numFmtId="167" fontId="10" fillId="0" borderId="12" xfId="63" applyNumberFormat="1" applyFont="1" applyBorder="1" applyAlignment="1">
      <alignment vertical="center"/>
      <protection/>
    </xf>
    <xf numFmtId="167" fontId="11" fillId="0" borderId="12" xfId="63" applyNumberFormat="1" applyFont="1" applyBorder="1" applyAlignment="1">
      <alignment horizontal="center" vertical="center"/>
      <protection/>
    </xf>
    <xf numFmtId="167" fontId="10" fillId="24" borderId="12" xfId="63" applyNumberFormat="1" applyFont="1" applyFill="1" applyBorder="1" applyAlignment="1">
      <alignment vertical="center"/>
      <protection/>
    </xf>
    <xf numFmtId="167" fontId="11" fillId="24" borderId="12" xfId="63" applyNumberFormat="1" applyFont="1" applyFill="1" applyBorder="1" applyAlignment="1">
      <alignment horizontal="center" vertical="center"/>
      <protection/>
    </xf>
    <xf numFmtId="167" fontId="11" fillId="0" borderId="12" xfId="63" applyNumberFormat="1" applyFont="1" applyBorder="1" applyAlignment="1">
      <alignment vertical="center"/>
      <protection/>
    </xf>
    <xf numFmtId="0" fontId="10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 vertical="center"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/>
    </xf>
    <xf numFmtId="169" fontId="28" fillId="0" borderId="0" xfId="62" applyNumberFormat="1" applyFill="1" applyAlignment="1">
      <alignment horizontal="center" vertical="center" wrapText="1"/>
      <protection/>
    </xf>
    <xf numFmtId="169" fontId="28" fillId="0" borderId="0" xfId="62" applyNumberFormat="1" applyFill="1" applyAlignment="1">
      <alignment vertical="center" wrapText="1"/>
      <protection/>
    </xf>
    <xf numFmtId="169" fontId="40" fillId="0" borderId="0" xfId="62" applyNumberFormat="1" applyFont="1" applyFill="1" applyAlignment="1">
      <alignment horizontal="center" vertical="center" wrapText="1"/>
      <protection/>
    </xf>
    <xf numFmtId="169" fontId="40" fillId="0" borderId="0" xfId="62" applyNumberFormat="1" applyFont="1" applyFill="1" applyAlignment="1">
      <alignment vertical="center" wrapText="1"/>
      <protection/>
    </xf>
    <xf numFmtId="0" fontId="37" fillId="0" borderId="15" xfId="62" applyFont="1" applyFill="1" applyBorder="1" applyAlignment="1">
      <alignment horizontal="center" vertical="center" wrapText="1"/>
      <protection/>
    </xf>
    <xf numFmtId="0" fontId="37" fillId="0" borderId="16" xfId="62" applyFont="1" applyFill="1" applyBorder="1" applyAlignment="1">
      <alignment horizontal="center" vertical="center" wrapText="1"/>
      <protection/>
    </xf>
    <xf numFmtId="0" fontId="37" fillId="0" borderId="17" xfId="62" applyFont="1" applyFill="1" applyBorder="1" applyAlignment="1">
      <alignment horizontal="center" vertical="center" wrapText="1"/>
      <protection/>
    </xf>
    <xf numFmtId="0" fontId="41" fillId="0" borderId="0" xfId="62" applyFont="1" applyFill="1" applyAlignment="1">
      <alignment horizontal="center" vertical="center" wrapText="1"/>
      <protection/>
    </xf>
    <xf numFmtId="0" fontId="38" fillId="0" borderId="15" xfId="62" applyFont="1" applyFill="1" applyBorder="1" applyAlignment="1">
      <alignment horizontal="center" vertical="center" wrapText="1"/>
      <protection/>
    </xf>
    <xf numFmtId="0" fontId="38" fillId="0" borderId="16" xfId="62" applyFont="1" applyFill="1" applyBorder="1" applyAlignment="1">
      <alignment horizontal="center" vertical="center" wrapText="1"/>
      <protection/>
    </xf>
    <xf numFmtId="0" fontId="38" fillId="0" borderId="17" xfId="62" applyFont="1" applyFill="1" applyBorder="1" applyAlignment="1">
      <alignment horizontal="center" vertical="center" wrapText="1"/>
      <protection/>
    </xf>
    <xf numFmtId="0" fontId="42" fillId="0" borderId="18" xfId="62" applyFont="1" applyFill="1" applyBorder="1" applyAlignment="1">
      <alignment horizontal="center" vertical="center" wrapText="1"/>
      <protection/>
    </xf>
    <xf numFmtId="0" fontId="39" fillId="0" borderId="19" xfId="62" applyFont="1" applyFill="1" applyBorder="1" applyAlignment="1" applyProtection="1">
      <alignment horizontal="left" vertical="center" wrapText="1" indent="1"/>
      <protection locked="0"/>
    </xf>
    <xf numFmtId="169" fontId="42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62" applyFill="1" applyAlignment="1">
      <alignment vertical="center" wrapText="1"/>
      <protection/>
    </xf>
    <xf numFmtId="0" fontId="42" fillId="0" borderId="10" xfId="62" applyFont="1" applyFill="1" applyBorder="1" applyAlignment="1">
      <alignment horizontal="center" vertical="center" wrapText="1"/>
      <protection/>
    </xf>
    <xf numFmtId="0" fontId="39" fillId="0" borderId="21" xfId="62" applyFont="1" applyFill="1" applyBorder="1" applyAlignment="1" applyProtection="1">
      <alignment horizontal="left" vertical="center" wrapText="1" indent="1"/>
      <protection locked="0"/>
    </xf>
    <xf numFmtId="169" fontId="42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21" xfId="62" applyFont="1" applyFill="1" applyBorder="1" applyAlignment="1" applyProtection="1">
      <alignment horizontal="left" vertical="center" wrapText="1" indent="8"/>
      <protection locked="0"/>
    </xf>
    <xf numFmtId="0" fontId="42" fillId="0" borderId="22" xfId="62" applyFont="1" applyFill="1" applyBorder="1" applyAlignment="1" applyProtection="1">
      <alignment vertical="center" wrapText="1"/>
      <protection locked="0"/>
    </xf>
    <xf numFmtId="169" fontId="42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5" xfId="62" applyFont="1" applyFill="1" applyBorder="1" applyAlignment="1">
      <alignment horizontal="center" vertical="center" wrapText="1"/>
      <protection/>
    </xf>
    <xf numFmtId="0" fontId="37" fillId="0" borderId="23" xfId="62" applyFont="1" applyFill="1" applyBorder="1" applyAlignment="1">
      <alignment vertical="center" wrapText="1"/>
      <protection/>
    </xf>
    <xf numFmtId="169" fontId="38" fillId="0" borderId="23" xfId="62" applyNumberFormat="1" applyFont="1" applyFill="1" applyBorder="1" applyAlignment="1">
      <alignment vertical="center" wrapText="1"/>
      <protection/>
    </xf>
    <xf numFmtId="169" fontId="38" fillId="0" borderId="24" xfId="62" applyNumberFormat="1" applyFont="1" applyFill="1" applyBorder="1" applyAlignment="1">
      <alignment vertical="center" wrapText="1"/>
      <protection/>
    </xf>
    <xf numFmtId="0" fontId="28" fillId="0" borderId="0" xfId="62" applyFill="1" applyAlignment="1">
      <alignment horizontal="right" vertical="center" wrapText="1"/>
      <protection/>
    </xf>
    <xf numFmtId="0" fontId="28" fillId="0" borderId="0" xfId="62" applyFill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169" fontId="45" fillId="0" borderId="12" xfId="62" applyNumberFormat="1" applyFont="1" applyFill="1" applyBorder="1" applyAlignment="1" applyProtection="1">
      <alignment vertical="center" wrapText="1"/>
      <protection locked="0"/>
    </xf>
    <xf numFmtId="169" fontId="46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/>
    </xf>
    <xf numFmtId="0" fontId="4" fillId="0" borderId="10" xfId="61" applyFont="1" applyBorder="1" applyAlignment="1">
      <alignment horizontal="center" vertical="center"/>
      <protection/>
    </xf>
    <xf numFmtId="0" fontId="47" fillId="0" borderId="0" xfId="61" applyFont="1" applyAlignment="1">
      <alignment vertical="center"/>
      <protection/>
    </xf>
    <xf numFmtId="167" fontId="3" fillId="0" borderId="0" xfId="63" applyNumberFormat="1" applyFont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3" fontId="5" fillId="0" borderId="0" xfId="63" applyNumberFormat="1" applyFont="1" applyAlignment="1">
      <alignment vertical="center"/>
      <protection/>
    </xf>
    <xf numFmtId="167" fontId="5" fillId="0" borderId="0" xfId="63" applyNumberFormat="1" applyFont="1" applyAlignment="1">
      <alignment vertical="center"/>
      <protection/>
    </xf>
    <xf numFmtId="0" fontId="10" fillId="0" borderId="12" xfId="63" applyFont="1" applyBorder="1" applyAlignment="1">
      <alignment horizontal="left" vertical="center"/>
      <protection/>
    </xf>
    <xf numFmtId="170" fontId="13" fillId="0" borderId="0" xfId="4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2" fillId="0" borderId="0" xfId="63" applyFont="1" applyBorder="1" applyAlignment="1">
      <alignment vertical="center"/>
      <protection/>
    </xf>
    <xf numFmtId="167" fontId="11" fillId="0" borderId="0" xfId="63" applyNumberFormat="1" applyFont="1" applyBorder="1" applyAlignment="1">
      <alignment vertical="center"/>
      <protection/>
    </xf>
    <xf numFmtId="167" fontId="11" fillId="0" borderId="0" xfId="6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7" fillId="0" borderId="0" xfId="61" applyFont="1" applyBorder="1" applyAlignment="1">
      <alignment horizontal="right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167" fontId="5" fillId="0" borderId="0" xfId="61" applyNumberFormat="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167" fontId="5" fillId="0" borderId="0" xfId="42" applyNumberFormat="1" applyFont="1" applyFill="1" applyBorder="1" applyAlignment="1">
      <alignment horizontal="center"/>
    </xf>
    <xf numFmtId="167" fontId="4" fillId="0" borderId="0" xfId="42" applyNumberFormat="1" applyFont="1" applyFill="1" applyBorder="1" applyAlignment="1">
      <alignment horizontal="center"/>
    </xf>
    <xf numFmtId="0" fontId="4" fillId="0" borderId="0" xfId="61" applyFont="1" applyBorder="1" applyAlignment="1">
      <alignment horizontal="center" vertical="center"/>
      <protection/>
    </xf>
    <xf numFmtId="167" fontId="4" fillId="0" borderId="0" xfId="61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12" fillId="0" borderId="12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167" fontId="5" fillId="0" borderId="12" xfId="42" applyNumberFormat="1" applyFont="1" applyFill="1" applyBorder="1" applyAlignment="1">
      <alignment horizontal="center"/>
    </xf>
    <xf numFmtId="0" fontId="5" fillId="0" borderId="12" xfId="61" applyFont="1" applyBorder="1" applyAlignment="1">
      <alignment horizontal="center" vertical="center"/>
      <protection/>
    </xf>
    <xf numFmtId="167" fontId="12" fillId="0" borderId="12" xfId="42" applyNumberFormat="1" applyFont="1" applyFill="1" applyBorder="1" applyAlignment="1">
      <alignment horizontal="center"/>
    </xf>
    <xf numFmtId="0" fontId="4" fillId="0" borderId="12" xfId="61" applyFont="1" applyBorder="1" applyAlignment="1">
      <alignment horizontal="center" vertical="center"/>
      <protection/>
    </xf>
    <xf numFmtId="167" fontId="4" fillId="0" borderId="12" xfId="42" applyNumberFormat="1" applyFont="1" applyFill="1" applyBorder="1" applyAlignment="1">
      <alignment horizontal="center"/>
    </xf>
    <xf numFmtId="0" fontId="5" fillId="24" borderId="12" xfId="61" applyFont="1" applyFill="1" applyBorder="1" applyAlignment="1">
      <alignment horizontal="center" vertical="center"/>
      <protection/>
    </xf>
    <xf numFmtId="0" fontId="11" fillId="24" borderId="11" xfId="6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/>
    </xf>
    <xf numFmtId="167" fontId="4" fillId="0" borderId="28" xfId="42" applyNumberFormat="1" applyFont="1" applyFill="1" applyBorder="1" applyAlignment="1">
      <alignment horizontal="center"/>
    </xf>
    <xf numFmtId="0" fontId="12" fillId="0" borderId="29" xfId="61" applyFont="1" applyBorder="1" applyAlignment="1">
      <alignment horizontal="center" vertical="center" wrapText="1"/>
      <protection/>
    </xf>
    <xf numFmtId="0" fontId="0" fillId="24" borderId="10" xfId="0" applyFill="1" applyBorder="1" applyAlignment="1">
      <alignment/>
    </xf>
    <xf numFmtId="167" fontId="7" fillId="24" borderId="11" xfId="42" applyNumberFormat="1" applyFont="1" applyFill="1" applyBorder="1" applyAlignment="1">
      <alignment horizontal="center"/>
    </xf>
    <xf numFmtId="0" fontId="0" fillId="24" borderId="26" xfId="0" applyFill="1" applyBorder="1" applyAlignment="1">
      <alignment/>
    </xf>
    <xf numFmtId="167" fontId="5" fillId="24" borderId="30" xfId="42" applyNumberFormat="1" applyFont="1" applyFill="1" applyBorder="1" applyAlignment="1">
      <alignment horizontal="center"/>
    </xf>
    <xf numFmtId="0" fontId="5" fillId="0" borderId="30" xfId="61" applyFont="1" applyBorder="1" applyAlignment="1">
      <alignment horizontal="center" vertical="center"/>
      <protection/>
    </xf>
    <xf numFmtId="167" fontId="5" fillId="0" borderId="31" xfId="42" applyNumberFormat="1" applyFont="1" applyFill="1" applyBorder="1" applyAlignment="1">
      <alignment horizontal="center"/>
    </xf>
    <xf numFmtId="167" fontId="5" fillId="0" borderId="22" xfId="42" applyNumberFormat="1" applyFont="1" applyFill="1" applyBorder="1" applyAlignment="1">
      <alignment horizontal="center"/>
    </xf>
    <xf numFmtId="0" fontId="5" fillId="0" borderId="22" xfId="61" applyFont="1" applyBorder="1" applyAlignment="1">
      <alignment horizontal="center" vertical="center"/>
      <protection/>
    </xf>
    <xf numFmtId="167" fontId="5" fillId="0" borderId="20" xfId="42" applyNumberFormat="1" applyFont="1" applyFill="1" applyBorder="1" applyAlignment="1">
      <alignment horizontal="center"/>
    </xf>
    <xf numFmtId="0" fontId="49" fillId="0" borderId="15" xfId="0" applyFont="1" applyBorder="1" applyAlignment="1">
      <alignment/>
    </xf>
    <xf numFmtId="167" fontId="12" fillId="0" borderId="16" xfId="42" applyNumberFormat="1" applyFont="1" applyFill="1" applyBorder="1" applyAlignment="1">
      <alignment horizontal="center"/>
    </xf>
    <xf numFmtId="0" fontId="12" fillId="0" borderId="16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left" vertical="center"/>
      <protection/>
    </xf>
    <xf numFmtId="0" fontId="49" fillId="0" borderId="16" xfId="0" applyFont="1" applyBorder="1" applyAlignment="1">
      <alignment/>
    </xf>
    <xf numFmtId="167" fontId="12" fillId="0" borderId="17" xfId="42" applyNumberFormat="1" applyFont="1" applyFill="1" applyBorder="1" applyAlignment="1">
      <alignment horizontal="center"/>
    </xf>
    <xf numFmtId="167" fontId="5" fillId="0" borderId="30" xfId="42" applyNumberFormat="1" applyFont="1" applyFill="1" applyBorder="1" applyAlignment="1">
      <alignment horizontal="center"/>
    </xf>
    <xf numFmtId="167" fontId="12" fillId="0" borderId="17" xfId="42" applyNumberFormat="1" applyFont="1" applyBorder="1" applyAlignment="1">
      <alignment horizontal="center"/>
    </xf>
    <xf numFmtId="0" fontId="7" fillId="24" borderId="12" xfId="61" applyFont="1" applyFill="1" applyBorder="1" applyAlignment="1">
      <alignment horizontal="center" vertical="center"/>
      <protection/>
    </xf>
    <xf numFmtId="0" fontId="0" fillId="24" borderId="32" xfId="0" applyFill="1" applyBorder="1" applyAlignment="1">
      <alignment/>
    </xf>
    <xf numFmtId="0" fontId="5" fillId="24" borderId="33" xfId="61" applyFont="1" applyFill="1" applyBorder="1" applyAlignment="1">
      <alignment horizontal="left"/>
      <protection/>
    </xf>
    <xf numFmtId="167" fontId="5" fillId="24" borderId="33" xfId="42" applyNumberFormat="1" applyFont="1" applyFill="1" applyBorder="1" applyAlignment="1">
      <alignment horizontal="center"/>
    </xf>
    <xf numFmtId="0" fontId="10" fillId="0" borderId="12" xfId="61" applyFont="1" applyBorder="1" applyAlignment="1">
      <alignment horizontal="center" vertical="center"/>
      <protection/>
    </xf>
    <xf numFmtId="167" fontId="5" fillId="0" borderId="0" xfId="61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/>
    </xf>
    <xf numFmtId="49" fontId="5" fillId="0" borderId="12" xfId="61" applyNumberFormat="1" applyFont="1" applyBorder="1" applyAlignment="1">
      <alignment horizontal="left"/>
      <protection/>
    </xf>
    <xf numFmtId="0" fontId="7" fillId="0" borderId="10" xfId="61" applyFont="1" applyBorder="1" applyAlignment="1">
      <alignment horizontal="center" vertical="center"/>
      <protection/>
    </xf>
    <xf numFmtId="0" fontId="50" fillId="0" borderId="0" xfId="61" applyFont="1" applyAlignment="1">
      <alignment vertical="center"/>
      <protection/>
    </xf>
    <xf numFmtId="167" fontId="12" fillId="0" borderId="33" xfId="42" applyNumberFormat="1" applyFont="1" applyFill="1" applyBorder="1" applyAlignment="1">
      <alignment horizontal="center"/>
    </xf>
    <xf numFmtId="0" fontId="12" fillId="0" borderId="33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left" vertical="center"/>
      <protection/>
    </xf>
    <xf numFmtId="0" fontId="49" fillId="0" borderId="33" xfId="0" applyFont="1" applyBorder="1" applyAlignment="1">
      <alignment/>
    </xf>
    <xf numFmtId="167" fontId="12" fillId="0" borderId="34" xfId="42" applyNumberFormat="1" applyFont="1" applyFill="1" applyBorder="1" applyAlignment="1">
      <alignment horizontal="center"/>
    </xf>
    <xf numFmtId="0" fontId="12" fillId="0" borderId="32" xfId="0" applyFont="1" applyBorder="1" applyAlignment="1">
      <alignment/>
    </xf>
    <xf numFmtId="167" fontId="12" fillId="0" borderId="34" xfId="42" applyNumberFormat="1" applyFont="1" applyBorder="1" applyAlignment="1">
      <alignment horizontal="center"/>
    </xf>
    <xf numFmtId="169" fontId="28" fillId="0" borderId="0" xfId="62" applyNumberFormat="1" applyFont="1" applyFill="1" applyAlignment="1">
      <alignment horizontal="right" vertical="center"/>
      <protection/>
    </xf>
    <xf numFmtId="169" fontId="28" fillId="0" borderId="0" xfId="62" applyNumberFormat="1" applyFont="1" applyFill="1" applyAlignment="1">
      <alignment vertical="center" wrapText="1"/>
      <protection/>
    </xf>
    <xf numFmtId="170" fontId="10" fillId="0" borderId="0" xfId="40" applyNumberFormat="1" applyFont="1" applyAlignment="1">
      <alignment/>
    </xf>
    <xf numFmtId="170" fontId="5" fillId="0" borderId="16" xfId="40" applyNumberFormat="1" applyFont="1" applyBorder="1" applyAlignment="1">
      <alignment horizontal="center"/>
    </xf>
    <xf numFmtId="170" fontId="5" fillId="0" borderId="17" xfId="40" applyNumberFormat="1" applyFont="1" applyBorder="1" applyAlignment="1">
      <alignment horizontal="center"/>
    </xf>
    <xf numFmtId="170" fontId="5" fillId="0" borderId="22" xfId="40" applyNumberFormat="1" applyFont="1" applyBorder="1" applyAlignment="1">
      <alignment/>
    </xf>
    <xf numFmtId="170" fontId="5" fillId="0" borderId="20" xfId="40" applyNumberFormat="1" applyFont="1" applyBorder="1" applyAlignment="1">
      <alignment/>
    </xf>
    <xf numFmtId="170" fontId="5" fillId="0" borderId="12" xfId="40" applyNumberFormat="1" applyFont="1" applyBorder="1" applyAlignment="1">
      <alignment/>
    </xf>
    <xf numFmtId="170" fontId="5" fillId="0" borderId="30" xfId="40" applyNumberFormat="1" applyFont="1" applyBorder="1" applyAlignment="1">
      <alignment/>
    </xf>
    <xf numFmtId="170" fontId="5" fillId="0" borderId="34" xfId="40" applyNumberFormat="1" applyFont="1" applyBorder="1" applyAlignment="1">
      <alignment/>
    </xf>
    <xf numFmtId="170" fontId="5" fillId="0" borderId="16" xfId="40" applyNumberFormat="1" applyFont="1" applyBorder="1" applyAlignment="1">
      <alignment/>
    </xf>
    <xf numFmtId="170" fontId="5" fillId="0" borderId="17" xfId="40" applyNumberFormat="1" applyFont="1" applyBorder="1" applyAlignment="1">
      <alignment/>
    </xf>
    <xf numFmtId="170" fontId="5" fillId="0" borderId="0" xfId="40" applyNumberFormat="1" applyFont="1" applyAlignment="1">
      <alignment/>
    </xf>
    <xf numFmtId="0" fontId="2" fillId="0" borderId="0" xfId="63" applyFont="1" applyAlignment="1">
      <alignment vertical="center"/>
      <protection/>
    </xf>
    <xf numFmtId="0" fontId="11" fillId="24" borderId="12" xfId="61" applyFont="1" applyFill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right"/>
      <protection/>
    </xf>
    <xf numFmtId="0" fontId="11" fillId="24" borderId="21" xfId="61" applyFont="1" applyFill="1" applyBorder="1" applyAlignment="1">
      <alignment horizontal="center" vertical="center" wrapText="1"/>
      <protection/>
    </xf>
    <xf numFmtId="167" fontId="5" fillId="0" borderId="21" xfId="61" applyNumberFormat="1" applyFont="1" applyBorder="1" applyAlignment="1">
      <alignment horizontal="center" vertical="center"/>
      <protection/>
    </xf>
    <xf numFmtId="167" fontId="5" fillId="0" borderId="21" xfId="42" applyNumberFormat="1" applyFont="1" applyBorder="1" applyAlignment="1">
      <alignment horizontal="center"/>
    </xf>
    <xf numFmtId="167" fontId="4" fillId="0" borderId="21" xfId="42" applyNumberFormat="1" applyFont="1" applyBorder="1" applyAlignment="1">
      <alignment horizontal="center"/>
    </xf>
    <xf numFmtId="167" fontId="5" fillId="24" borderId="21" xfId="42" applyNumberFormat="1" applyFont="1" applyFill="1" applyBorder="1" applyAlignment="1">
      <alignment horizontal="center"/>
    </xf>
    <xf numFmtId="0" fontId="11" fillId="24" borderId="35" xfId="61" applyFont="1" applyFill="1" applyBorder="1" applyAlignment="1">
      <alignment horizontal="center" vertical="center" wrapText="1"/>
      <protection/>
    </xf>
    <xf numFmtId="0" fontId="10" fillId="0" borderId="33" xfId="61" applyFont="1" applyBorder="1" applyAlignment="1">
      <alignment horizontal="center" vertical="center"/>
      <protection/>
    </xf>
    <xf numFmtId="167" fontId="5" fillId="0" borderId="34" xfId="42" applyNumberFormat="1" applyFont="1" applyFill="1" applyBorder="1" applyAlignment="1">
      <alignment horizontal="center"/>
    </xf>
    <xf numFmtId="17" fontId="10" fillId="0" borderId="0" xfId="0" applyNumberFormat="1" applyFont="1" applyAlignment="1">
      <alignment/>
    </xf>
    <xf numFmtId="167" fontId="5" fillId="0" borderId="21" xfId="42" applyNumberFormat="1" applyFont="1" applyFill="1" applyBorder="1" applyAlignment="1">
      <alignment horizontal="center"/>
    </xf>
    <xf numFmtId="0" fontId="5" fillId="0" borderId="12" xfId="0" applyFont="1" applyBorder="1" applyAlignment="1" quotePrefix="1">
      <alignment horizontal="center" vertical="center" wrapText="1"/>
    </xf>
    <xf numFmtId="167" fontId="5" fillId="0" borderId="36" xfId="61" applyNumberFormat="1" applyFont="1" applyBorder="1" applyAlignment="1">
      <alignment horizontal="center" vertical="center"/>
      <protection/>
    </xf>
    <xf numFmtId="167" fontId="5" fillId="0" borderId="36" xfId="42" applyNumberFormat="1" applyFont="1" applyBorder="1" applyAlignment="1">
      <alignment horizontal="center"/>
    </xf>
    <xf numFmtId="167" fontId="7" fillId="0" borderId="36" xfId="42" applyNumberFormat="1" applyFont="1" applyBorder="1" applyAlignment="1">
      <alignment horizontal="center"/>
    </xf>
    <xf numFmtId="167" fontId="4" fillId="0" borderId="36" xfId="42" applyNumberFormat="1" applyFont="1" applyBorder="1" applyAlignment="1">
      <alignment horizontal="center"/>
    </xf>
    <xf numFmtId="167" fontId="5" fillId="24" borderId="36" xfId="42" applyNumberFormat="1" applyFont="1" applyFill="1" applyBorder="1" applyAlignment="1">
      <alignment horizontal="center"/>
    </xf>
    <xf numFmtId="167" fontId="9" fillId="0" borderId="36" xfId="42" applyNumberFormat="1" applyFont="1" applyBorder="1" applyAlignment="1">
      <alignment horizontal="center"/>
    </xf>
    <xf numFmtId="167" fontId="4" fillId="0" borderId="37" xfId="42" applyNumberFormat="1" applyFont="1" applyBorder="1" applyAlignment="1">
      <alignment horizontal="center"/>
    </xf>
    <xf numFmtId="167" fontId="4" fillId="0" borderId="36" xfId="61" applyNumberFormat="1" applyFont="1" applyBorder="1" applyAlignment="1">
      <alignment horizontal="center"/>
      <protection/>
    </xf>
    <xf numFmtId="167" fontId="4" fillId="0" borderId="38" xfId="42" applyNumberFormat="1" applyFont="1" applyBorder="1" applyAlignment="1">
      <alignment horizontal="center"/>
    </xf>
    <xf numFmtId="167" fontId="5" fillId="0" borderId="38" xfId="42" applyNumberFormat="1" applyFont="1" applyBorder="1" applyAlignment="1">
      <alignment horizontal="center"/>
    </xf>
    <xf numFmtId="167" fontId="7" fillId="0" borderId="38" xfId="42" applyNumberFormat="1" applyFont="1" applyBorder="1" applyAlignment="1">
      <alignment horizontal="center"/>
    </xf>
    <xf numFmtId="167" fontId="7" fillId="0" borderId="21" xfId="42" applyNumberFormat="1" applyFont="1" applyFill="1" applyBorder="1" applyAlignment="1">
      <alignment horizontal="center"/>
    </xf>
    <xf numFmtId="167" fontId="9" fillId="0" borderId="21" xfId="42" applyNumberFormat="1" applyFont="1" applyFill="1" applyBorder="1" applyAlignment="1">
      <alignment horizontal="center"/>
    </xf>
    <xf numFmtId="167" fontId="4" fillId="0" borderId="21" xfId="42" applyNumberFormat="1" applyFont="1" applyFill="1" applyBorder="1" applyAlignment="1">
      <alignment horizontal="center"/>
    </xf>
    <xf numFmtId="167" fontId="5" fillId="0" borderId="12" xfId="42" applyNumberFormat="1" applyFont="1" applyBorder="1" applyAlignment="1">
      <alignment horizontal="center"/>
    </xf>
    <xf numFmtId="167" fontId="7" fillId="0" borderId="12" xfId="42" applyNumberFormat="1" applyFont="1" applyBorder="1" applyAlignment="1">
      <alignment horizontal="center"/>
    </xf>
    <xf numFmtId="167" fontId="5" fillId="25" borderId="12" xfId="42" applyNumberFormat="1" applyFont="1" applyFill="1" applyBorder="1" applyAlignment="1">
      <alignment horizontal="center"/>
    </xf>
    <xf numFmtId="167" fontId="4" fillId="0" borderId="12" xfId="42" applyNumberFormat="1" applyFont="1" applyBorder="1" applyAlignment="1">
      <alignment horizontal="center"/>
    </xf>
    <xf numFmtId="167" fontId="9" fillId="0" borderId="12" xfId="42" applyNumberFormat="1" applyFont="1" applyBorder="1" applyAlignment="1">
      <alignment horizontal="center"/>
    </xf>
    <xf numFmtId="170" fontId="13" fillId="0" borderId="0" xfId="0" applyNumberFormat="1" applyFont="1" applyAlignment="1">
      <alignment/>
    </xf>
    <xf numFmtId="0" fontId="0" fillId="0" borderId="37" xfId="0" applyBorder="1" applyAlignment="1">
      <alignment horizontal="left" vertical="center" wrapText="1"/>
    </xf>
    <xf numFmtId="0" fontId="5" fillId="0" borderId="12" xfId="61" applyFont="1" applyBorder="1" applyAlignment="1">
      <alignment horizontal="left"/>
      <protection/>
    </xf>
    <xf numFmtId="0" fontId="5" fillId="0" borderId="12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3" fillId="25" borderId="12" xfId="0" applyFont="1" applyFill="1" applyBorder="1" applyAlignment="1">
      <alignment/>
    </xf>
    <xf numFmtId="170" fontId="13" fillId="25" borderId="12" xfId="40" applyNumberFormat="1" applyFont="1" applyFill="1" applyBorder="1" applyAlignment="1">
      <alignment/>
    </xf>
    <xf numFmtId="170" fontId="13" fillId="0" borderId="12" xfId="40" applyNumberFormat="1" applyFont="1" applyBorder="1" applyAlignment="1">
      <alignment/>
    </xf>
    <xf numFmtId="170" fontId="13" fillId="24" borderId="12" xfId="40" applyNumberFormat="1" applyFont="1" applyFill="1" applyBorder="1" applyAlignment="1">
      <alignment/>
    </xf>
    <xf numFmtId="0" fontId="13" fillId="24" borderId="12" xfId="0" applyFont="1" applyFill="1" applyBorder="1" applyAlignment="1">
      <alignment/>
    </xf>
    <xf numFmtId="167" fontId="5" fillId="0" borderId="11" xfId="61" applyNumberFormat="1" applyFont="1" applyBorder="1" applyAlignment="1">
      <alignment horizontal="center" vertical="center"/>
      <protection/>
    </xf>
    <xf numFmtId="3" fontId="5" fillId="0" borderId="12" xfId="61" applyNumberFormat="1" applyFont="1" applyBorder="1" applyAlignment="1">
      <alignment horizontal="center" vertical="center"/>
      <protection/>
    </xf>
    <xf numFmtId="3" fontId="5" fillId="0" borderId="12" xfId="42" applyNumberFormat="1" applyFont="1" applyBorder="1" applyAlignment="1">
      <alignment horizontal="center"/>
    </xf>
    <xf numFmtId="3" fontId="7" fillId="0" borderId="12" xfId="42" applyNumberFormat="1" applyFont="1" applyBorder="1" applyAlignment="1">
      <alignment horizontal="center"/>
    </xf>
    <xf numFmtId="167" fontId="6" fillId="0" borderId="0" xfId="61" applyNumberFormat="1" applyFont="1" applyAlignment="1">
      <alignment vertical="center"/>
      <protection/>
    </xf>
    <xf numFmtId="0" fontId="5" fillId="0" borderId="10" xfId="0" applyFont="1" applyBorder="1" applyAlignment="1">
      <alignment horizontal="justify" vertical="distributed" wrapText="1"/>
    </xf>
    <xf numFmtId="0" fontId="13" fillId="0" borderId="39" xfId="0" applyFont="1" applyBorder="1" applyAlignment="1">
      <alignment horizontal="centerContinuous"/>
    </xf>
    <xf numFmtId="3" fontId="80" fillId="0" borderId="4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3" fontId="80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0" xfId="0" applyNumberFormat="1" applyAlignment="1">
      <alignment/>
    </xf>
    <xf numFmtId="170" fontId="54" fillId="26" borderId="0" xfId="40" applyNumberFormat="1" applyFont="1" applyFill="1" applyAlignment="1">
      <alignment/>
    </xf>
    <xf numFmtId="170" fontId="0" fillId="0" borderId="0" xfId="0" applyNumberFormat="1" applyAlignment="1">
      <alignment/>
    </xf>
    <xf numFmtId="0" fontId="81" fillId="0" borderId="0" xfId="0" applyFont="1" applyAlignment="1">
      <alignment/>
    </xf>
    <xf numFmtId="170" fontId="81" fillId="0" borderId="0" xfId="0" applyNumberFormat="1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40" xfId="0" applyFont="1" applyBorder="1" applyAlignment="1">
      <alignment/>
    </xf>
    <xf numFmtId="170" fontId="48" fillId="0" borderId="40" xfId="40" applyNumberFormat="1" applyFont="1" applyBorder="1" applyAlignment="1">
      <alignment/>
    </xf>
    <xf numFmtId="170" fontId="2" fillId="0" borderId="12" xfId="4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63" applyFont="1" applyAlignment="1">
      <alignment vertical="center"/>
      <protection/>
    </xf>
    <xf numFmtId="167" fontId="7" fillId="0" borderId="12" xfId="61" applyNumberFormat="1" applyFont="1" applyBorder="1" applyAlignment="1">
      <alignment horizontal="center" vertical="center"/>
      <protection/>
    </xf>
    <xf numFmtId="167" fontId="7" fillId="0" borderId="11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167" fontId="4" fillId="0" borderId="30" xfId="42" applyNumberFormat="1" applyFont="1" applyBorder="1" applyAlignment="1">
      <alignment horizontal="center"/>
    </xf>
    <xf numFmtId="167" fontId="5" fillId="0" borderId="30" xfId="61" applyNumberFormat="1" applyFont="1" applyBorder="1" applyAlignment="1">
      <alignment horizontal="center" vertical="center"/>
      <protection/>
    </xf>
    <xf numFmtId="167" fontId="5" fillId="0" borderId="31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67" fontId="4" fillId="0" borderId="16" xfId="61" applyNumberFormat="1" applyFont="1" applyBorder="1" applyAlignment="1">
      <alignment horizontal="center"/>
      <protection/>
    </xf>
    <xf numFmtId="167" fontId="7" fillId="0" borderId="16" xfId="61" applyNumberFormat="1" applyFont="1" applyBorder="1" applyAlignment="1">
      <alignment horizontal="center" vertical="center"/>
      <protection/>
    </xf>
    <xf numFmtId="167" fontId="7" fillId="0" borderId="17" xfId="61" applyNumberFormat="1" applyFont="1" applyBorder="1" applyAlignment="1">
      <alignment horizontal="center" vertical="center"/>
      <protection/>
    </xf>
    <xf numFmtId="0" fontId="4" fillId="0" borderId="16" xfId="61" applyFont="1" applyBorder="1" applyAlignment="1">
      <alignment vertical="center"/>
      <protection/>
    </xf>
    <xf numFmtId="3" fontId="4" fillId="0" borderId="36" xfId="42" applyNumberFormat="1" applyFont="1" applyBorder="1" applyAlignment="1">
      <alignment horizontal="center"/>
    </xf>
    <xf numFmtId="167" fontId="5" fillId="0" borderId="22" xfId="61" applyNumberFormat="1" applyFont="1" applyBorder="1" applyAlignment="1">
      <alignment horizontal="center" vertical="center"/>
      <protection/>
    </xf>
    <xf numFmtId="167" fontId="5" fillId="0" borderId="20" xfId="61" applyNumberFormat="1" applyFont="1" applyBorder="1" applyAlignment="1">
      <alignment horizontal="center" vertical="center"/>
      <protection/>
    </xf>
    <xf numFmtId="167" fontId="7" fillId="0" borderId="18" xfId="61" applyNumberFormat="1" applyFont="1" applyBorder="1" applyAlignment="1">
      <alignment horizontal="center" vertical="center"/>
      <protection/>
    </xf>
    <xf numFmtId="167" fontId="7" fillId="0" borderId="35" xfId="61" applyNumberFormat="1" applyFont="1" applyBorder="1" applyAlignment="1">
      <alignment horizontal="center" vertical="center"/>
      <protection/>
    </xf>
    <xf numFmtId="167" fontId="7" fillId="0" borderId="27" xfId="61" applyNumberFormat="1" applyFont="1" applyBorder="1" applyAlignment="1">
      <alignment horizontal="center" vertical="center"/>
      <protection/>
    </xf>
    <xf numFmtId="167" fontId="7" fillId="0" borderId="28" xfId="61" applyNumberFormat="1" applyFont="1" applyBorder="1" applyAlignment="1">
      <alignment horizontal="center" vertical="center"/>
      <protection/>
    </xf>
    <xf numFmtId="167" fontId="7" fillId="0" borderId="21" xfId="61" applyNumberFormat="1" applyFon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 wrapText="1"/>
    </xf>
    <xf numFmtId="3" fontId="82" fillId="0" borderId="40" xfId="0" applyNumberFormat="1" applyFont="1" applyBorder="1" applyAlignment="1">
      <alignment horizontal="center"/>
    </xf>
    <xf numFmtId="169" fontId="36" fillId="0" borderId="0" xfId="62" applyNumberFormat="1" applyFont="1" applyFill="1" applyAlignment="1">
      <alignment horizontal="right"/>
      <protection/>
    </xf>
    <xf numFmtId="169" fontId="37" fillId="0" borderId="42" xfId="62" applyNumberFormat="1" applyFont="1" applyFill="1" applyBorder="1" applyAlignment="1">
      <alignment horizontal="center" vertical="center"/>
      <protection/>
    </xf>
    <xf numFmtId="169" fontId="37" fillId="0" borderId="28" xfId="62" applyNumberFormat="1" applyFont="1" applyFill="1" applyBorder="1" applyAlignment="1">
      <alignment horizontal="center" vertical="center" wrapText="1"/>
      <protection/>
    </xf>
    <xf numFmtId="169" fontId="38" fillId="0" borderId="43" xfId="62" applyNumberFormat="1" applyFont="1" applyFill="1" applyBorder="1" applyAlignment="1">
      <alignment horizontal="center" vertical="center" wrapText="1"/>
      <protection/>
    </xf>
    <xf numFmtId="169" fontId="38" fillId="0" borderId="40" xfId="62" applyNumberFormat="1" applyFont="1" applyFill="1" applyBorder="1" applyAlignment="1">
      <alignment horizontal="center" vertical="center" wrapText="1"/>
      <protection/>
    </xf>
    <xf numFmtId="169" fontId="38" fillId="0" borderId="44" xfId="62" applyNumberFormat="1" applyFont="1" applyFill="1" applyBorder="1" applyAlignment="1">
      <alignment horizontal="center" vertical="center" wrapText="1"/>
      <protection/>
    </xf>
    <xf numFmtId="169" fontId="38" fillId="0" borderId="17" xfId="62" applyNumberFormat="1" applyFont="1" applyFill="1" applyBorder="1" applyAlignment="1">
      <alignment horizontal="center" vertical="center" wrapText="1"/>
      <protection/>
    </xf>
    <xf numFmtId="169" fontId="38" fillId="0" borderId="45" xfId="62" applyNumberFormat="1" applyFont="1" applyFill="1" applyBorder="1" applyAlignment="1">
      <alignment horizontal="center" vertical="center" wrapText="1"/>
      <protection/>
    </xf>
    <xf numFmtId="169" fontId="38" fillId="0" borderId="15" xfId="62" applyNumberFormat="1" applyFont="1" applyFill="1" applyBorder="1" applyAlignment="1">
      <alignment horizontal="center" vertical="center" wrapText="1"/>
      <protection/>
    </xf>
    <xf numFmtId="169" fontId="38" fillId="0" borderId="40" xfId="62" applyNumberFormat="1" applyFont="1" applyFill="1" applyBorder="1" applyAlignment="1">
      <alignment horizontal="left" vertical="center" wrapText="1" indent="1"/>
      <protection/>
    </xf>
    <xf numFmtId="169" fontId="42" fillId="0" borderId="16" xfId="62" applyNumberFormat="1" applyFont="1" applyFill="1" applyBorder="1" applyAlignment="1" applyProtection="1">
      <alignment horizontal="left" vertical="center" wrapText="1" indent="2"/>
      <protection/>
    </xf>
    <xf numFmtId="169" fontId="42" fillId="0" borderId="40" xfId="62" applyNumberFormat="1" applyFont="1" applyFill="1" applyBorder="1" applyAlignment="1" applyProtection="1">
      <alignment vertical="center" wrapText="1"/>
      <protection/>
    </xf>
    <xf numFmtId="169" fontId="42" fillId="0" borderId="15" xfId="62" applyNumberFormat="1" applyFont="1" applyFill="1" applyBorder="1" applyAlignment="1" applyProtection="1">
      <alignment vertical="center" wrapText="1"/>
      <protection/>
    </xf>
    <xf numFmtId="169" fontId="42" fillId="0" borderId="16" xfId="62" applyNumberFormat="1" applyFont="1" applyFill="1" applyBorder="1" applyAlignment="1" applyProtection="1">
      <alignment vertical="center" wrapText="1"/>
      <protection/>
    </xf>
    <xf numFmtId="169" fontId="42" fillId="0" borderId="17" xfId="62" applyNumberFormat="1" applyFont="1" applyFill="1" applyBorder="1" applyAlignment="1" applyProtection="1">
      <alignment vertical="center" wrapText="1"/>
      <protection/>
    </xf>
    <xf numFmtId="169" fontId="42" fillId="0" borderId="40" xfId="62" applyNumberFormat="1" applyFont="1" applyFill="1" applyBorder="1" applyAlignment="1">
      <alignment vertical="center" wrapText="1"/>
      <protection/>
    </xf>
    <xf numFmtId="169" fontId="38" fillId="0" borderId="10" xfId="62" applyNumberFormat="1" applyFont="1" applyFill="1" applyBorder="1" applyAlignment="1">
      <alignment horizontal="center" vertical="center" wrapText="1"/>
      <protection/>
    </xf>
    <xf numFmtId="169" fontId="42" fillId="0" borderId="46" xfId="62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12" xfId="62" applyNumberFormat="1" applyFont="1" applyFill="1" applyBorder="1" applyAlignment="1" applyProtection="1">
      <alignment horizontal="left" vertical="center" wrapText="1" indent="2"/>
      <protection locked="0"/>
    </xf>
    <xf numFmtId="169" fontId="42" fillId="0" borderId="46" xfId="62" applyNumberFormat="1" applyFont="1" applyFill="1" applyBorder="1" applyAlignment="1" applyProtection="1">
      <alignment vertical="center" wrapText="1"/>
      <protection locked="0"/>
    </xf>
    <xf numFmtId="169" fontId="42" fillId="0" borderId="10" xfId="62" applyNumberFormat="1" applyFont="1" applyFill="1" applyBorder="1" applyAlignment="1" applyProtection="1">
      <alignment vertical="center" wrapText="1"/>
      <protection locked="0"/>
    </xf>
    <xf numFmtId="169" fontId="42" fillId="0" borderId="12" xfId="62" applyNumberFormat="1" applyFont="1" applyFill="1" applyBorder="1" applyAlignment="1" applyProtection="1">
      <alignment vertical="center" wrapText="1"/>
      <protection locked="0"/>
    </xf>
    <xf numFmtId="169" fontId="42" fillId="0" borderId="11" xfId="62" applyNumberFormat="1" applyFont="1" applyFill="1" applyBorder="1" applyAlignment="1" applyProtection="1">
      <alignment vertical="center" wrapText="1"/>
      <protection locked="0"/>
    </xf>
    <xf numFmtId="169" fontId="42" fillId="0" borderId="46" xfId="62" applyNumberFormat="1" applyFont="1" applyFill="1" applyBorder="1" applyAlignment="1">
      <alignment vertical="center" wrapText="1"/>
      <protection/>
    </xf>
    <xf numFmtId="169" fontId="38" fillId="0" borderId="40" xfId="62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16" xfId="62" applyNumberFormat="1" applyFont="1" applyFill="1" applyBorder="1" applyAlignment="1" applyProtection="1">
      <alignment horizontal="left" vertical="center" wrapText="1" indent="2"/>
      <protection/>
    </xf>
    <xf numFmtId="14" fontId="28" fillId="0" borderId="12" xfId="62" applyNumberFormat="1" applyFont="1" applyFill="1" applyBorder="1" applyAlignment="1" applyProtection="1">
      <alignment horizontal="left" vertical="center" wrapText="1" indent="2"/>
      <protection locked="0"/>
    </xf>
    <xf numFmtId="169" fontId="38" fillId="0" borderId="32" xfId="62" applyNumberFormat="1" applyFont="1" applyFill="1" applyBorder="1" applyAlignment="1">
      <alignment horizontal="center" vertical="center" wrapText="1"/>
      <protection/>
    </xf>
    <xf numFmtId="169" fontId="28" fillId="0" borderId="33" xfId="62" applyNumberFormat="1" applyFont="1" applyFill="1" applyBorder="1" applyAlignment="1" applyProtection="1">
      <alignment horizontal="left" vertical="center" wrapText="1" indent="2"/>
      <protection/>
    </xf>
    <xf numFmtId="169" fontId="42" fillId="0" borderId="45" xfId="62" applyNumberFormat="1" applyFont="1" applyFill="1" applyBorder="1" applyAlignment="1" applyProtection="1">
      <alignment vertical="center" wrapText="1"/>
      <protection/>
    </xf>
    <xf numFmtId="169" fontId="42" fillId="0" borderId="32" xfId="62" applyNumberFormat="1" applyFont="1" applyFill="1" applyBorder="1" applyAlignment="1" applyProtection="1">
      <alignment vertical="center" wrapText="1"/>
      <protection/>
    </xf>
    <xf numFmtId="169" fontId="42" fillId="0" borderId="13" xfId="62" applyNumberFormat="1" applyFont="1" applyFill="1" applyBorder="1" applyAlignment="1" applyProtection="1">
      <alignment vertical="center" wrapText="1"/>
      <protection/>
    </xf>
    <xf numFmtId="169" fontId="42" fillId="0" borderId="34" xfId="62" applyNumberFormat="1" applyFont="1" applyFill="1" applyBorder="1" applyAlignment="1" applyProtection="1">
      <alignment vertical="center" wrapText="1"/>
      <protection/>
    </xf>
    <xf numFmtId="169" fontId="42" fillId="0" borderId="45" xfId="62" applyNumberFormat="1" applyFont="1" applyFill="1" applyBorder="1" applyAlignment="1">
      <alignment vertical="center" wrapText="1"/>
      <protection/>
    </xf>
    <xf numFmtId="169" fontId="38" fillId="0" borderId="26" xfId="62" applyNumberFormat="1" applyFont="1" applyFill="1" applyBorder="1" applyAlignment="1">
      <alignment horizontal="center" vertical="center" wrapText="1"/>
      <protection/>
    </xf>
    <xf numFmtId="169" fontId="42" fillId="0" borderId="47" xfId="62" applyNumberFormat="1" applyFont="1" applyFill="1" applyBorder="1" applyAlignment="1">
      <alignment vertical="center" wrapText="1"/>
      <protection/>
    </xf>
    <xf numFmtId="169" fontId="38" fillId="0" borderId="40" xfId="62" applyNumberFormat="1" applyFont="1" applyFill="1" applyBorder="1" applyAlignment="1" applyProtection="1">
      <alignment horizontal="left" vertical="center" wrapText="1" indent="1"/>
      <protection locked="0"/>
    </xf>
    <xf numFmtId="169" fontId="42" fillId="0" borderId="40" xfId="62" applyNumberFormat="1" applyFont="1" applyFill="1" applyBorder="1" applyAlignment="1" applyProtection="1">
      <alignment vertical="center" wrapText="1"/>
      <protection locked="0"/>
    </xf>
    <xf numFmtId="169" fontId="42" fillId="0" borderId="15" xfId="62" applyNumberFormat="1" applyFont="1" applyFill="1" applyBorder="1" applyAlignment="1" applyProtection="1">
      <alignment vertical="center" wrapText="1"/>
      <protection locked="0"/>
    </xf>
    <xf numFmtId="169" fontId="42" fillId="0" borderId="16" xfId="62" applyNumberFormat="1" applyFont="1" applyFill="1" applyBorder="1" applyAlignment="1" applyProtection="1">
      <alignment vertical="center" wrapText="1"/>
      <protection locked="0"/>
    </xf>
    <xf numFmtId="169" fontId="42" fillId="0" borderId="17" xfId="62" applyNumberFormat="1" applyFont="1" applyFill="1" applyBorder="1" applyAlignment="1" applyProtection="1">
      <alignment vertical="center" wrapText="1"/>
      <protection locked="0"/>
    </xf>
    <xf numFmtId="169" fontId="42" fillId="0" borderId="48" xfId="62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49" xfId="62" applyNumberFormat="1" applyFont="1" applyFill="1" applyBorder="1" applyAlignment="1" applyProtection="1">
      <alignment horizontal="left" vertical="center" wrapText="1" indent="2"/>
      <protection locked="0"/>
    </xf>
    <xf numFmtId="169" fontId="42" fillId="0" borderId="45" xfId="62" applyNumberFormat="1" applyFont="1" applyFill="1" applyBorder="1" applyAlignment="1" applyProtection="1">
      <alignment vertical="center" wrapText="1"/>
      <protection locked="0"/>
    </xf>
    <xf numFmtId="169" fontId="42" fillId="0" borderId="32" xfId="62" applyNumberFormat="1" applyFont="1" applyFill="1" applyBorder="1" applyAlignment="1" applyProtection="1">
      <alignment vertical="center" wrapText="1"/>
      <protection locked="0"/>
    </xf>
    <xf numFmtId="169" fontId="42" fillId="0" borderId="33" xfId="62" applyNumberFormat="1" applyFont="1" applyFill="1" applyBorder="1" applyAlignment="1" applyProtection="1">
      <alignment vertical="center" wrapText="1"/>
      <protection locked="0"/>
    </xf>
    <xf numFmtId="169" fontId="42" fillId="0" borderId="34" xfId="62" applyNumberFormat="1" applyFont="1" applyFill="1" applyBorder="1" applyAlignment="1" applyProtection="1">
      <alignment vertical="center" wrapText="1"/>
      <protection locked="0"/>
    </xf>
    <xf numFmtId="169" fontId="28" fillId="24" borderId="44" xfId="62" applyNumberFormat="1" applyFont="1" applyFill="1" applyBorder="1" applyAlignment="1" applyProtection="1">
      <alignment horizontal="left" vertical="center" wrapText="1" indent="2"/>
      <protection/>
    </xf>
    <xf numFmtId="169" fontId="28" fillId="0" borderId="0" xfId="62" applyNumberFormat="1" applyFont="1" applyFill="1" applyAlignment="1">
      <alignment horizontal="right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170" fontId="14" fillId="0" borderId="12" xfId="40" applyNumberFormat="1" applyFont="1" applyBorder="1" applyAlignment="1">
      <alignment/>
    </xf>
    <xf numFmtId="167" fontId="5" fillId="0" borderId="37" xfId="61" applyNumberFormat="1" applyFont="1" applyBorder="1" applyAlignment="1">
      <alignment horizontal="center" vertical="center"/>
      <protection/>
    </xf>
    <xf numFmtId="167" fontId="4" fillId="0" borderId="12" xfId="61" applyNumberFormat="1" applyFont="1" applyBorder="1" applyAlignment="1">
      <alignment horizontal="center"/>
      <protection/>
    </xf>
    <xf numFmtId="167" fontId="4" fillId="0" borderId="21" xfId="61" applyNumberFormat="1" applyFont="1" applyBorder="1" applyAlignment="1">
      <alignment horizontal="center"/>
      <protection/>
    </xf>
    <xf numFmtId="3" fontId="0" fillId="0" borderId="45" xfId="0" applyNumberFormat="1" applyBorder="1" applyAlignment="1">
      <alignment/>
    </xf>
    <xf numFmtId="3" fontId="83" fillId="0" borderId="40" xfId="0" applyNumberFormat="1" applyFont="1" applyBorder="1" applyAlignment="1">
      <alignment/>
    </xf>
    <xf numFmtId="3" fontId="82" fillId="0" borderId="40" xfId="0" applyNumberFormat="1" applyFont="1" applyBorder="1" applyAlignment="1">
      <alignment horizontal="center" vertical="distributed" wrapText="1"/>
    </xf>
    <xf numFmtId="3" fontId="83" fillId="0" borderId="50" xfId="0" applyNumberFormat="1" applyFont="1" applyBorder="1" applyAlignment="1">
      <alignment/>
    </xf>
    <xf numFmtId="0" fontId="0" fillId="0" borderId="0" xfId="0" applyAlignment="1">
      <alignment horizontal="center"/>
    </xf>
    <xf numFmtId="169" fontId="28" fillId="0" borderId="0" xfId="62" applyNumberFormat="1" applyAlignment="1">
      <alignment vertical="center" wrapText="1"/>
      <protection/>
    </xf>
    <xf numFmtId="169" fontId="2" fillId="0" borderId="0" xfId="62" applyNumberFormat="1" applyFont="1" applyAlignment="1">
      <alignment horizontal="right" wrapText="1"/>
      <protection/>
    </xf>
    <xf numFmtId="169" fontId="37" fillId="0" borderId="15" xfId="62" applyNumberFormat="1" applyFont="1" applyBorder="1" applyAlignment="1">
      <alignment horizontal="center" vertical="center" wrapText="1"/>
      <protection/>
    </xf>
    <xf numFmtId="169" fontId="45" fillId="0" borderId="12" xfId="62" applyNumberFormat="1" applyFont="1" applyBorder="1" applyAlignment="1" applyProtection="1">
      <alignment vertical="center" wrapText="1"/>
      <protection locked="0"/>
    </xf>
    <xf numFmtId="169" fontId="46" fillId="0" borderId="26" xfId="62" applyNumberFormat="1" applyFont="1" applyBorder="1" applyAlignment="1" applyProtection="1">
      <alignment horizontal="left" vertical="center" wrapText="1" indent="1"/>
      <protection locked="0"/>
    </xf>
    <xf numFmtId="1" fontId="45" fillId="0" borderId="12" xfId="62" applyNumberFormat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distributed" wrapText="1"/>
    </xf>
    <xf numFmtId="169" fontId="45" fillId="0" borderId="21" xfId="62" applyNumberFormat="1" applyFont="1" applyBorder="1" applyAlignment="1" applyProtection="1">
      <alignment vertical="center" wrapText="1"/>
      <protection locked="0"/>
    </xf>
    <xf numFmtId="169" fontId="46" fillId="0" borderId="25" xfId="62" applyNumberFormat="1" applyFont="1" applyBorder="1" applyAlignment="1" applyProtection="1">
      <alignment horizontal="left" vertical="center" wrapText="1" indent="1"/>
      <protection locked="0"/>
    </xf>
    <xf numFmtId="169" fontId="46" fillId="0" borderId="10" xfId="62" applyNumberFormat="1" applyFont="1" applyBorder="1" applyAlignment="1" applyProtection="1">
      <alignment horizontal="left" vertical="center" wrapText="1" indent="1"/>
      <protection locked="0"/>
    </xf>
    <xf numFmtId="169" fontId="45" fillId="0" borderId="22" xfId="62" applyNumberFormat="1" applyFont="1" applyBorder="1" applyAlignment="1" applyProtection="1">
      <alignment vertical="center" wrapText="1"/>
      <protection locked="0"/>
    </xf>
    <xf numFmtId="1" fontId="45" fillId="0" borderId="22" xfId="62" applyNumberFormat="1" applyFont="1" applyBorder="1" applyAlignment="1" applyProtection="1">
      <alignment vertical="center" wrapText="1"/>
      <protection locked="0"/>
    </xf>
    <xf numFmtId="0" fontId="66" fillId="0" borderId="0" xfId="0" applyFont="1" applyAlignment="1">
      <alignment/>
    </xf>
    <xf numFmtId="169" fontId="46" fillId="0" borderId="32" xfId="62" applyNumberFormat="1" applyFont="1" applyBorder="1" applyAlignment="1" applyProtection="1">
      <alignment horizontal="left" vertical="center" wrapText="1" indent="1"/>
      <protection locked="0"/>
    </xf>
    <xf numFmtId="169" fontId="45" fillId="0" borderId="33" xfId="62" applyNumberFormat="1" applyFont="1" applyBorder="1" applyAlignment="1" applyProtection="1">
      <alignment vertical="center" wrapText="1"/>
      <protection locked="0"/>
    </xf>
    <xf numFmtId="1" fontId="45" fillId="0" borderId="33" xfId="62" applyNumberFormat="1" applyFont="1" applyBorder="1" applyAlignment="1" applyProtection="1">
      <alignment horizontal="center" vertical="center" wrapText="1"/>
      <protection locked="0"/>
    </xf>
    <xf numFmtId="169" fontId="37" fillId="0" borderId="15" xfId="62" applyNumberFormat="1" applyFont="1" applyBorder="1" applyAlignment="1">
      <alignment horizontal="left" vertical="center" wrapText="1"/>
      <protection/>
    </xf>
    <xf numFmtId="169" fontId="37" fillId="0" borderId="16" xfId="62" applyNumberFormat="1" applyFont="1" applyBorder="1" applyAlignment="1">
      <alignment vertical="center" wrapText="1"/>
      <protection/>
    </xf>
    <xf numFmtId="169" fontId="28" fillId="0" borderId="0" xfId="62" applyNumberFormat="1" applyAlignment="1">
      <alignment horizontal="center" vertical="center" wrapText="1"/>
      <protection/>
    </xf>
    <xf numFmtId="0" fontId="28" fillId="0" borderId="0" xfId="62" applyAlignment="1">
      <alignment horizontal="center" vertical="center" wrapText="1"/>
      <protection/>
    </xf>
    <xf numFmtId="0" fontId="28" fillId="0" borderId="0" xfId="62" applyAlignment="1">
      <alignment vertical="center" wrapText="1"/>
      <protection/>
    </xf>
    <xf numFmtId="0" fontId="5" fillId="0" borderId="0" xfId="61" applyFont="1" applyAlignment="1">
      <alignment horizontal="left"/>
      <protection/>
    </xf>
    <xf numFmtId="0" fontId="13" fillId="0" borderId="4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84" fillId="0" borderId="12" xfId="0" applyFont="1" applyBorder="1" applyAlignment="1">
      <alignment/>
    </xf>
    <xf numFmtId="0" fontId="84" fillId="0" borderId="0" xfId="0" applyFont="1" applyAlignment="1">
      <alignment/>
    </xf>
    <xf numFmtId="170" fontId="58" fillId="0" borderId="12" xfId="40" applyNumberFormat="1" applyFont="1" applyBorder="1" applyAlignment="1">
      <alignment/>
    </xf>
    <xf numFmtId="0" fontId="5" fillId="0" borderId="43" xfId="0" applyFont="1" applyBorder="1" applyAlignment="1">
      <alignment/>
    </xf>
    <xf numFmtId="170" fontId="5" fillId="0" borderId="51" xfId="40" applyNumberFormat="1" applyFont="1" applyBorder="1" applyAlignment="1">
      <alignment horizontal="center"/>
    </xf>
    <xf numFmtId="170" fontId="10" fillId="0" borderId="52" xfId="40" applyNumberFormat="1" applyFont="1" applyBorder="1" applyAlignment="1">
      <alignment/>
    </xf>
    <xf numFmtId="170" fontId="10" fillId="0" borderId="40" xfId="4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5" fillId="0" borderId="0" xfId="0" applyFont="1" applyAlignment="1">
      <alignment/>
    </xf>
    <xf numFmtId="170" fontId="85" fillId="0" borderId="0" xfId="40" applyNumberFormat="1" applyFont="1" applyAlignment="1">
      <alignment/>
    </xf>
    <xf numFmtId="170" fontId="86" fillId="0" borderId="0" xfId="40" applyNumberFormat="1" applyFont="1" applyAlignment="1">
      <alignment/>
    </xf>
    <xf numFmtId="0" fontId="86" fillId="0" borderId="0" xfId="0" applyFont="1" applyAlignment="1">
      <alignment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170" fontId="86" fillId="0" borderId="0" xfId="40" applyNumberFormat="1" applyFont="1" applyAlignment="1">
      <alignment wrapText="1"/>
    </xf>
    <xf numFmtId="0" fontId="85" fillId="0" borderId="0" xfId="0" applyFont="1" applyAlignment="1">
      <alignment wrapText="1"/>
    </xf>
    <xf numFmtId="0" fontId="85" fillId="27" borderId="0" xfId="0" applyFont="1" applyFill="1" applyAlignment="1">
      <alignment horizontal="center" wrapText="1"/>
    </xf>
    <xf numFmtId="0" fontId="86" fillId="27" borderId="0" xfId="0" applyFont="1" applyFill="1" applyAlignment="1">
      <alignment horizontal="center" wrapText="1"/>
    </xf>
    <xf numFmtId="0" fontId="85" fillId="27" borderId="0" xfId="0" applyFont="1" applyFill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85" fillId="0" borderId="0" xfId="0" applyNumberFormat="1" applyFont="1" applyAlignment="1">
      <alignment horizontal="center"/>
    </xf>
    <xf numFmtId="170" fontId="86" fillId="0" borderId="0" xfId="40" applyNumberFormat="1" applyFont="1" applyAlignment="1">
      <alignment horizontal="center" vertical="center"/>
    </xf>
    <xf numFmtId="49" fontId="60" fillId="0" borderId="10" xfId="40" applyNumberFormat="1" applyFont="1" applyBorder="1" applyAlignment="1">
      <alignment horizontal="center"/>
    </xf>
    <xf numFmtId="3" fontId="58" fillId="0" borderId="40" xfId="0" applyNumberFormat="1" applyFont="1" applyBorder="1" applyAlignment="1">
      <alignment horizontal="center"/>
    </xf>
    <xf numFmtId="3" fontId="85" fillId="0" borderId="0" xfId="0" applyNumberFormat="1" applyFont="1" applyAlignment="1">
      <alignment horizontal="center" vertical="center"/>
    </xf>
    <xf numFmtId="49" fontId="87" fillId="0" borderId="10" xfId="4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86" fillId="0" borderId="0" xfId="0" applyNumberFormat="1" applyFont="1" applyAlignment="1">
      <alignment horizontal="center"/>
    </xf>
    <xf numFmtId="3" fontId="88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66" fillId="0" borderId="40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3" fontId="54" fillId="26" borderId="0" xfId="40" applyNumberFormat="1" applyFont="1" applyFill="1" applyAlignment="1">
      <alignment/>
    </xf>
    <xf numFmtId="3" fontId="0" fillId="0" borderId="42" xfId="0" applyNumberFormat="1" applyBorder="1" applyAlignment="1">
      <alignment/>
    </xf>
    <xf numFmtId="0" fontId="39" fillId="0" borderId="12" xfId="63" applyFont="1" applyBorder="1" applyAlignment="1">
      <alignment vertical="center"/>
      <protection/>
    </xf>
    <xf numFmtId="0" fontId="5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/>
      <protection/>
    </xf>
    <xf numFmtId="0" fontId="7" fillId="24" borderId="36" xfId="61" applyFont="1" applyFill="1" applyBorder="1" applyAlignment="1">
      <alignment horizontal="left" wrapText="1"/>
      <protection/>
    </xf>
    <xf numFmtId="0" fontId="7" fillId="24" borderId="21" xfId="61" applyFont="1" applyFill="1" applyBorder="1" applyAlignment="1">
      <alignment horizontal="left" wrapText="1"/>
      <protection/>
    </xf>
    <xf numFmtId="169" fontId="52" fillId="0" borderId="0" xfId="62" applyNumberFormat="1" applyFont="1" applyAlignment="1">
      <alignment horizontal="center" vertical="center" wrapText="1"/>
      <protection/>
    </xf>
    <xf numFmtId="169" fontId="52" fillId="0" borderId="0" xfId="62" applyNumberFormat="1" applyFont="1" applyAlignment="1">
      <alignment vertical="center" wrapText="1"/>
      <protection/>
    </xf>
    <xf numFmtId="0" fontId="15" fillId="0" borderId="0" xfId="0" applyFont="1" applyAlignment="1">
      <alignment horizontal="center"/>
    </xf>
    <xf numFmtId="167" fontId="13" fillId="0" borderId="36" xfId="0" applyNumberFormat="1" applyFont="1" applyBorder="1" applyAlignment="1">
      <alignment horizontal="center"/>
    </xf>
    <xf numFmtId="167" fontId="13" fillId="0" borderId="37" xfId="0" applyNumberFormat="1" applyFont="1" applyBorder="1" applyAlignment="1">
      <alignment horizontal="center"/>
    </xf>
    <xf numFmtId="167" fontId="13" fillId="0" borderId="38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3" fontId="71" fillId="0" borderId="0" xfId="0" applyNumberFormat="1" applyFont="1" applyAlignment="1">
      <alignment/>
    </xf>
    <xf numFmtId="0" fontId="55" fillId="0" borderId="40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80" fillId="0" borderId="0" xfId="0" applyFont="1" applyAlignment="1">
      <alignment wrapText="1"/>
    </xf>
    <xf numFmtId="3" fontId="90" fillId="0" borderId="0" xfId="40" applyNumberFormat="1" applyFont="1" applyAlignment="1">
      <alignment/>
    </xf>
    <xf numFmtId="3" fontId="80" fillId="0" borderId="0" xfId="40" applyNumberFormat="1" applyFont="1" applyAlignment="1">
      <alignment/>
    </xf>
    <xf numFmtId="3" fontId="80" fillId="0" borderId="0" xfId="0" applyNumberFormat="1" applyFont="1" applyAlignment="1">
      <alignment/>
    </xf>
    <xf numFmtId="3" fontId="80" fillId="0" borderId="53" xfId="0" applyNumberFormat="1" applyFont="1" applyBorder="1" applyAlignment="1">
      <alignment/>
    </xf>
    <xf numFmtId="3" fontId="80" fillId="0" borderId="0" xfId="0" applyNumberFormat="1" applyFont="1" applyAlignment="1">
      <alignment horizontal="center"/>
    </xf>
    <xf numFmtId="0" fontId="82" fillId="0" borderId="43" xfId="0" applyFont="1" applyBorder="1" applyAlignment="1">
      <alignment/>
    </xf>
    <xf numFmtId="0" fontId="82" fillId="0" borderId="52" xfId="0" applyFont="1" applyBorder="1" applyAlignment="1">
      <alignment/>
    </xf>
    <xf numFmtId="3" fontId="82" fillId="0" borderId="51" xfId="0" applyNumberFormat="1" applyFont="1" applyBorder="1" applyAlignment="1">
      <alignment horizontal="center"/>
    </xf>
    <xf numFmtId="0" fontId="82" fillId="0" borderId="0" xfId="0" applyFont="1" applyAlignment="1">
      <alignment/>
    </xf>
    <xf numFmtId="49" fontId="5" fillId="0" borderId="36" xfId="61" applyNumberFormat="1" applyFont="1" applyBorder="1" applyAlignment="1">
      <alignment horizontal="left"/>
      <protection/>
    </xf>
    <xf numFmtId="169" fontId="37" fillId="0" borderId="43" xfId="62" applyNumberFormat="1" applyFont="1" applyBorder="1" applyAlignment="1">
      <alignment horizontal="center" vertical="center" wrapText="1"/>
      <protection/>
    </xf>
    <xf numFmtId="169" fontId="37" fillId="0" borderId="16" xfId="62" applyNumberFormat="1" applyFont="1" applyBorder="1" applyAlignment="1">
      <alignment horizontal="center" vertical="center" wrapText="1"/>
      <protection/>
    </xf>
    <xf numFmtId="169" fontId="38" fillId="0" borderId="32" xfId="62" applyNumberFormat="1" applyFont="1" applyBorder="1" applyAlignment="1">
      <alignment horizontal="center" vertical="center" wrapText="1"/>
      <protection/>
    </xf>
    <xf numFmtId="169" fontId="38" fillId="0" borderId="33" xfId="62" applyNumberFormat="1" applyFont="1" applyBorder="1" applyAlignment="1">
      <alignment horizontal="center" vertical="center" wrapText="1"/>
      <protection/>
    </xf>
    <xf numFmtId="1" fontId="45" fillId="0" borderId="22" xfId="62" applyNumberFormat="1" applyFont="1" applyBorder="1" applyAlignment="1" applyProtection="1">
      <alignment horizontal="center" vertical="center" wrapText="1"/>
      <protection locked="0"/>
    </xf>
    <xf numFmtId="170" fontId="0" fillId="0" borderId="54" xfId="40" applyNumberFormat="1" applyFont="1" applyBorder="1" applyAlignment="1">
      <alignment horizontal="right" vertical="justify"/>
    </xf>
    <xf numFmtId="1" fontId="45" fillId="0" borderId="21" xfId="62" applyNumberFormat="1" applyFont="1" applyBorder="1" applyAlignment="1" applyProtection="1">
      <alignment horizontal="center" vertical="center" wrapText="1"/>
      <protection locked="0"/>
    </xf>
    <xf numFmtId="169" fontId="45" fillId="0" borderId="55" xfId="62" applyNumberFormat="1" applyFont="1" applyBorder="1" applyAlignment="1" applyProtection="1">
      <alignment vertical="center" wrapText="1"/>
      <protection locked="0"/>
    </xf>
    <xf numFmtId="1" fontId="45" fillId="0" borderId="55" xfId="62" applyNumberFormat="1" applyFont="1" applyBorder="1" applyAlignment="1" applyProtection="1">
      <alignment horizontal="center" vertical="center" wrapText="1"/>
      <protection locked="0"/>
    </xf>
    <xf numFmtId="170" fontId="54" fillId="0" borderId="40" xfId="40" applyNumberFormat="1" applyFont="1" applyBorder="1" applyAlignment="1">
      <alignment horizontal="center" vertical="center"/>
    </xf>
    <xf numFmtId="169" fontId="44" fillId="0" borderId="56" xfId="62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1" fontId="45" fillId="0" borderId="33" xfId="62" applyNumberFormat="1" applyFont="1" applyBorder="1" applyAlignment="1" applyProtection="1">
      <alignment vertical="center" wrapText="1"/>
      <protection locked="0"/>
    </xf>
    <xf numFmtId="169" fontId="44" fillId="0" borderId="43" xfId="62" applyNumberFormat="1" applyFont="1" applyBorder="1" applyAlignment="1" applyProtection="1">
      <alignment horizontal="left" vertical="center" wrapText="1" indent="1"/>
      <protection locked="0"/>
    </xf>
    <xf numFmtId="169" fontId="37" fillId="0" borderId="40" xfId="62" applyNumberFormat="1" applyFont="1" applyBorder="1" applyAlignment="1" applyProtection="1">
      <alignment vertical="center" wrapText="1"/>
      <protection locked="0"/>
    </xf>
    <xf numFmtId="1" fontId="37" fillId="0" borderId="56" xfId="62" applyNumberFormat="1" applyFont="1" applyBorder="1" applyAlignment="1" applyProtection="1">
      <alignment horizontal="center" vertical="center" wrapText="1"/>
      <protection locked="0"/>
    </xf>
    <xf numFmtId="169" fontId="37" fillId="0" borderId="44" xfId="62" applyNumberFormat="1" applyFont="1" applyBorder="1" applyAlignment="1" applyProtection="1">
      <alignment vertical="center" wrapText="1"/>
      <protection locked="0"/>
    </xf>
    <xf numFmtId="0" fontId="72" fillId="0" borderId="0" xfId="0" applyFont="1" applyAlignment="1">
      <alignment/>
    </xf>
    <xf numFmtId="1" fontId="37" fillId="0" borderId="40" xfId="62" applyNumberFormat="1" applyFont="1" applyBorder="1" applyAlignment="1" applyProtection="1">
      <alignment horizontal="center" vertical="center" wrapText="1"/>
      <protection locked="0"/>
    </xf>
    <xf numFmtId="169" fontId="37" fillId="0" borderId="52" xfId="62" applyNumberFormat="1" applyFont="1" applyBorder="1" applyAlignment="1" applyProtection="1">
      <alignment vertical="center" wrapText="1"/>
      <protection locked="0"/>
    </xf>
    <xf numFmtId="0" fontId="91" fillId="0" borderId="0" xfId="0" applyFont="1" applyBorder="1" applyAlignment="1">
      <alignment/>
    </xf>
    <xf numFmtId="169" fontId="51" fillId="0" borderId="52" xfId="62" applyNumberFormat="1" applyFont="1" applyBorder="1" applyAlignment="1" applyProtection="1">
      <alignment vertical="center" wrapText="1"/>
      <protection locked="0"/>
    </xf>
    <xf numFmtId="169" fontId="51" fillId="0" borderId="51" xfId="62" applyNumberFormat="1" applyFont="1" applyBorder="1" applyAlignment="1" applyProtection="1">
      <alignment vertical="center" wrapText="1"/>
      <protection locked="0"/>
    </xf>
    <xf numFmtId="169" fontId="51" fillId="0" borderId="40" xfId="62" applyNumberFormat="1" applyFont="1" applyBorder="1" applyAlignment="1" applyProtection="1">
      <alignment vertical="center" wrapText="1"/>
      <protection locked="0"/>
    </xf>
    <xf numFmtId="169" fontId="51" fillId="0" borderId="40" xfId="62" applyNumberFormat="1" applyFont="1" applyBorder="1" applyAlignment="1" applyProtection="1">
      <alignment horizontal="left" vertical="center" wrapText="1" indent="1"/>
      <protection locked="0"/>
    </xf>
    <xf numFmtId="170" fontId="0" fillId="0" borderId="0" xfId="40" applyNumberFormat="1" applyFont="1" applyAlignment="1">
      <alignment/>
    </xf>
    <xf numFmtId="3" fontId="0" fillId="0" borderId="0" xfId="0" applyNumberFormat="1" applyFont="1" applyAlignment="1">
      <alignment/>
    </xf>
    <xf numFmtId="170" fontId="0" fillId="0" borderId="0" xfId="40" applyNumberFormat="1" applyFont="1" applyAlignment="1">
      <alignment horizontal="center"/>
    </xf>
    <xf numFmtId="3" fontId="0" fillId="0" borderId="0" xfId="40" applyNumberFormat="1" applyFont="1" applyAlignment="1">
      <alignment/>
    </xf>
    <xf numFmtId="0" fontId="62" fillId="0" borderId="0" xfId="0" applyFont="1" applyAlignment="1">
      <alignment/>
    </xf>
    <xf numFmtId="0" fontId="82" fillId="0" borderId="29" xfId="0" applyFont="1" applyBorder="1" applyAlignment="1">
      <alignment/>
    </xf>
    <xf numFmtId="0" fontId="82" fillId="0" borderId="57" xfId="0" applyFont="1" applyBorder="1" applyAlignment="1">
      <alignment/>
    </xf>
    <xf numFmtId="0" fontId="58" fillId="0" borderId="58" xfId="0" applyFont="1" applyBorder="1" applyAlignment="1" quotePrefix="1">
      <alignment wrapText="1"/>
    </xf>
    <xf numFmtId="0" fontId="58" fillId="0" borderId="22" xfId="0" applyFont="1" applyBorder="1" applyAlignment="1" quotePrefix="1">
      <alignment wrapText="1"/>
    </xf>
    <xf numFmtId="170" fontId="0" fillId="0" borderId="10" xfId="0" applyNumberFormat="1" applyBorder="1" applyAlignment="1">
      <alignment/>
    </xf>
    <xf numFmtId="170" fontId="2" fillId="0" borderId="36" xfId="40" applyNumberFormat="1" applyFont="1" applyBorder="1" applyAlignment="1">
      <alignment/>
    </xf>
    <xf numFmtId="3" fontId="2" fillId="0" borderId="40" xfId="0" applyNumberFormat="1" applyFont="1" applyBorder="1" applyAlignment="1">
      <alignment wrapText="1"/>
    </xf>
    <xf numFmtId="170" fontId="2" fillId="0" borderId="11" xfId="40" applyNumberFormat="1" applyFont="1" applyBorder="1" applyAlignment="1">
      <alignment/>
    </xf>
    <xf numFmtId="0" fontId="62" fillId="0" borderId="38" xfId="0" applyFont="1" applyBorder="1" applyAlignment="1">
      <alignment horizontal="left" vertical="center" wrapText="1"/>
    </xf>
    <xf numFmtId="170" fontId="2" fillId="0" borderId="22" xfId="40" applyNumberFormat="1" applyFont="1" applyBorder="1" applyAlignment="1">
      <alignment/>
    </xf>
    <xf numFmtId="170" fontId="2" fillId="0" borderId="30" xfId="40" applyNumberFormat="1" applyFont="1" applyBorder="1" applyAlignment="1">
      <alignment/>
    </xf>
    <xf numFmtId="170" fontId="2" fillId="0" borderId="31" xfId="40" applyNumberFormat="1" applyFont="1" applyBorder="1" applyAlignment="1">
      <alignment/>
    </xf>
    <xf numFmtId="170" fontId="54" fillId="0" borderId="10" xfId="0" applyNumberFormat="1" applyFont="1" applyBorder="1" applyAlignment="1">
      <alignment/>
    </xf>
    <xf numFmtId="170" fontId="50" fillId="0" borderId="15" xfId="40" applyNumberFormat="1" applyFont="1" applyBorder="1" applyAlignment="1">
      <alignment/>
    </xf>
    <xf numFmtId="170" fontId="50" fillId="0" borderId="40" xfId="40" applyNumberFormat="1" applyFont="1" applyBorder="1" applyAlignment="1">
      <alignment/>
    </xf>
    <xf numFmtId="170" fontId="50" fillId="0" borderId="56" xfId="0" applyNumberFormat="1" applyFont="1" applyBorder="1" applyAlignment="1">
      <alignment/>
    </xf>
    <xf numFmtId="170" fontId="50" fillId="0" borderId="16" xfId="0" applyNumberFormat="1" applyFont="1" applyBorder="1" applyAlignment="1">
      <alignment/>
    </xf>
    <xf numFmtId="170" fontId="50" fillId="0" borderId="17" xfId="0" applyNumberFormat="1" applyFont="1" applyBorder="1" applyAlignment="1">
      <alignment/>
    </xf>
    <xf numFmtId="170" fontId="50" fillId="0" borderId="27" xfId="0" applyNumberFormat="1" applyFont="1" applyBorder="1" applyAlignment="1">
      <alignment/>
    </xf>
    <xf numFmtId="170" fontId="50" fillId="0" borderId="59" xfId="0" applyNumberFormat="1" applyFont="1" applyBorder="1" applyAlignment="1">
      <alignment/>
    </xf>
    <xf numFmtId="0" fontId="50" fillId="0" borderId="0" xfId="0" applyFont="1" applyAlignment="1">
      <alignment/>
    </xf>
    <xf numFmtId="170" fontId="2" fillId="0" borderId="0" xfId="0" applyNumberFormat="1" applyFont="1" applyAlignment="1">
      <alignment/>
    </xf>
    <xf numFmtId="0" fontId="58" fillId="0" borderId="33" xfId="0" applyFont="1" applyBorder="1" applyAlignment="1" quotePrefix="1">
      <alignment wrapText="1"/>
    </xf>
    <xf numFmtId="170" fontId="83" fillId="0" borderId="15" xfId="0" applyNumberFormat="1" applyFont="1" applyBorder="1" applyAlignment="1">
      <alignment/>
    </xf>
    <xf numFmtId="170" fontId="0" fillId="0" borderId="25" xfId="0" applyNumberFormat="1" applyBorder="1" applyAlignment="1">
      <alignment/>
    </xf>
    <xf numFmtId="170" fontId="83" fillId="0" borderId="40" xfId="0" applyNumberFormat="1" applyFont="1" applyBorder="1" applyAlignment="1">
      <alignment/>
    </xf>
    <xf numFmtId="170" fontId="83" fillId="0" borderId="60" xfId="0" applyNumberFormat="1" applyFont="1" applyBorder="1" applyAlignment="1">
      <alignment/>
    </xf>
    <xf numFmtId="0" fontId="9" fillId="0" borderId="12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11" fillId="0" borderId="61" xfId="61" applyFont="1" applyBorder="1" applyAlignment="1">
      <alignment horizontal="center" vertical="center" wrapText="1"/>
      <protection/>
    </xf>
    <xf numFmtId="0" fontId="11" fillId="0" borderId="6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left"/>
      <protection/>
    </xf>
    <xf numFmtId="0" fontId="7" fillId="0" borderId="12" xfId="61" applyFont="1" applyBorder="1" applyAlignment="1">
      <alignment horizontal="left"/>
      <protection/>
    </xf>
    <xf numFmtId="0" fontId="4" fillId="0" borderId="12" xfId="61" applyFont="1" applyBorder="1" applyAlignment="1">
      <alignment horizontal="left" wrapText="1"/>
      <protection/>
    </xf>
    <xf numFmtId="0" fontId="5" fillId="0" borderId="12" xfId="61" applyFont="1" applyBorder="1" applyAlignment="1">
      <alignment horizontal="left"/>
      <protection/>
    </xf>
    <xf numFmtId="0" fontId="53" fillId="0" borderId="12" xfId="61" applyFont="1" applyBorder="1" applyAlignment="1">
      <alignment horizontal="left" wrapText="1"/>
      <protection/>
    </xf>
    <xf numFmtId="0" fontId="7" fillId="0" borderId="12" xfId="61" applyFont="1" applyBorder="1" applyAlignment="1">
      <alignment horizontal="center"/>
      <protection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2" xfId="61" applyFont="1" applyBorder="1" applyAlignment="1">
      <alignment horizontal="left" wrapText="1"/>
      <protection/>
    </xf>
    <xf numFmtId="0" fontId="5" fillId="24" borderId="12" xfId="61" applyFont="1" applyFill="1" applyBorder="1" applyAlignment="1">
      <alignment horizontal="center"/>
      <protection/>
    </xf>
    <xf numFmtId="0" fontId="5" fillId="0" borderId="12" xfId="61" applyFont="1" applyBorder="1" applyAlignment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7" fillId="0" borderId="29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wrapText="1"/>
      <protection/>
    </xf>
    <xf numFmtId="0" fontId="4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1" applyFont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2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wrapText="1"/>
      <protection/>
    </xf>
    <xf numFmtId="0" fontId="10" fillId="0" borderId="21" xfId="61" applyFont="1" applyBorder="1" applyAlignment="1">
      <alignment horizontal="center" wrapText="1"/>
      <protection/>
    </xf>
    <xf numFmtId="0" fontId="12" fillId="0" borderId="29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58" xfId="6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57" xfId="61" applyFont="1" applyBorder="1" applyAlignment="1">
      <alignment horizontal="center" vertical="center" wrapText="1"/>
      <protection/>
    </xf>
    <xf numFmtId="0" fontId="12" fillId="0" borderId="54" xfId="61" applyFont="1" applyBorder="1" applyAlignment="1">
      <alignment horizontal="center" vertical="center" wrapText="1"/>
      <protection/>
    </xf>
    <xf numFmtId="0" fontId="11" fillId="0" borderId="63" xfId="61" applyFont="1" applyBorder="1" applyAlignment="1">
      <alignment horizontal="center" vertical="center" wrapText="1"/>
      <protection/>
    </xf>
    <xf numFmtId="0" fontId="11" fillId="0" borderId="64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0" fontId="11" fillId="0" borderId="66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5" fillId="0" borderId="0" xfId="61" applyFont="1" applyBorder="1" applyAlignment="1">
      <alignment horizontal="left"/>
      <protection/>
    </xf>
    <xf numFmtId="0" fontId="10" fillId="0" borderId="36" xfId="61" applyFont="1" applyBorder="1" applyAlignment="1">
      <alignment horizontal="right" wrapText="1"/>
      <protection/>
    </xf>
    <xf numFmtId="0" fontId="10" fillId="0" borderId="21" xfId="61" applyFont="1" applyBorder="1" applyAlignment="1">
      <alignment horizontal="right" wrapText="1"/>
      <protection/>
    </xf>
    <xf numFmtId="0" fontId="7" fillId="24" borderId="12" xfId="61" applyFont="1" applyFill="1" applyBorder="1" applyAlignment="1">
      <alignment horizontal="left" wrapText="1"/>
      <protection/>
    </xf>
    <xf numFmtId="0" fontId="7" fillId="0" borderId="36" xfId="61" applyFont="1" applyBorder="1" applyAlignment="1">
      <alignment horizontal="left" wrapText="1"/>
      <protection/>
    </xf>
    <xf numFmtId="0" fontId="7" fillId="0" borderId="21" xfId="61" applyFont="1" applyBorder="1" applyAlignment="1">
      <alignment horizontal="left" wrapText="1"/>
      <protection/>
    </xf>
    <xf numFmtId="0" fontId="5" fillId="0" borderId="22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/>
      <protection/>
    </xf>
    <xf numFmtId="0" fontId="5" fillId="24" borderId="12" xfId="61" applyFont="1" applyFill="1" applyBorder="1" applyAlignment="1">
      <alignment horizontal="left"/>
      <protection/>
    </xf>
    <xf numFmtId="0" fontId="5" fillId="24" borderId="30" xfId="61" applyFont="1" applyFill="1" applyBorder="1" applyAlignment="1">
      <alignment horizontal="left"/>
      <protection/>
    </xf>
    <xf numFmtId="0" fontId="12" fillId="0" borderId="16" xfId="61" applyFont="1" applyBorder="1" applyAlignment="1">
      <alignment horizontal="left"/>
      <protection/>
    </xf>
    <xf numFmtId="0" fontId="4" fillId="0" borderId="14" xfId="61" applyFont="1" applyBorder="1" applyAlignment="1">
      <alignment horizontal="left" wrapText="1"/>
      <protection/>
    </xf>
    <xf numFmtId="0" fontId="12" fillId="0" borderId="63" xfId="61" applyFont="1" applyBorder="1" applyAlignment="1">
      <alignment horizontal="left"/>
      <protection/>
    </xf>
    <xf numFmtId="0" fontId="12" fillId="0" borderId="67" xfId="61" applyFont="1" applyBorder="1" applyAlignment="1">
      <alignment horizontal="left"/>
      <protection/>
    </xf>
    <xf numFmtId="0" fontId="5" fillId="0" borderId="22" xfId="61" applyFont="1" applyBorder="1" applyAlignment="1">
      <alignment horizontal="left"/>
      <protection/>
    </xf>
    <xf numFmtId="0" fontId="5" fillId="0" borderId="68" xfId="61" applyFont="1" applyBorder="1" applyAlignment="1">
      <alignment horizontal="right" vertical="center" wrapText="1"/>
      <protection/>
    </xf>
    <xf numFmtId="0" fontId="5" fillId="0" borderId="69" xfId="61" applyFont="1" applyBorder="1" applyAlignment="1">
      <alignment horizontal="right" vertical="center" wrapText="1"/>
      <protection/>
    </xf>
    <xf numFmtId="0" fontId="12" fillId="0" borderId="57" xfId="61" applyFont="1" applyBorder="1" applyAlignment="1">
      <alignment horizontal="left" vertical="center" wrapText="1"/>
      <protection/>
    </xf>
    <xf numFmtId="0" fontId="12" fillId="0" borderId="54" xfId="61" applyFont="1" applyBorder="1" applyAlignment="1">
      <alignment horizontal="left" vertical="center" wrapText="1"/>
      <protection/>
    </xf>
    <xf numFmtId="0" fontId="5" fillId="0" borderId="30" xfId="61" applyFont="1" applyBorder="1" applyAlignment="1">
      <alignment horizontal="left" vertical="center" wrapText="1"/>
      <protection/>
    </xf>
    <xf numFmtId="0" fontId="12" fillId="0" borderId="12" xfId="61" applyFont="1" applyBorder="1" applyAlignment="1">
      <alignment horizontal="left"/>
      <protection/>
    </xf>
    <xf numFmtId="0" fontId="5" fillId="0" borderId="30" xfId="61" applyFont="1" applyBorder="1" applyAlignment="1">
      <alignment horizontal="left"/>
      <protection/>
    </xf>
    <xf numFmtId="0" fontId="5" fillId="24" borderId="12" xfId="61" applyFont="1" applyFill="1" applyBorder="1" applyAlignment="1">
      <alignment horizontal="left" wrapText="1"/>
      <protection/>
    </xf>
    <xf numFmtId="0" fontId="12" fillId="0" borderId="16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/>
      <protection/>
    </xf>
    <xf numFmtId="0" fontId="7" fillId="24" borderId="36" xfId="61" applyFont="1" applyFill="1" applyBorder="1" applyAlignment="1">
      <alignment horizontal="left" wrapText="1"/>
      <protection/>
    </xf>
    <xf numFmtId="0" fontId="7" fillId="24" borderId="21" xfId="61" applyFont="1" applyFill="1" applyBorder="1" applyAlignment="1">
      <alignment horizontal="left" wrapText="1"/>
      <protection/>
    </xf>
    <xf numFmtId="169" fontId="52" fillId="0" borderId="0" xfId="62" applyNumberFormat="1" applyFont="1" applyAlignment="1">
      <alignment horizontal="center" vertical="center" wrapText="1"/>
      <protection/>
    </xf>
    <xf numFmtId="169" fontId="52" fillId="0" borderId="0" xfId="62" applyNumberFormat="1" applyFont="1" applyAlignment="1">
      <alignment vertical="center" wrapText="1"/>
      <protection/>
    </xf>
    <xf numFmtId="169" fontId="52" fillId="0" borderId="43" xfId="62" applyNumberFormat="1" applyFont="1" applyBorder="1" applyAlignment="1">
      <alignment horizontal="center" vertical="center" wrapText="1"/>
      <protection/>
    </xf>
    <xf numFmtId="169" fontId="52" fillId="0" borderId="52" xfId="62" applyNumberFormat="1" applyFont="1" applyBorder="1" applyAlignment="1">
      <alignment horizontal="center" vertical="center" wrapText="1"/>
      <protection/>
    </xf>
    <xf numFmtId="167" fontId="14" fillId="25" borderId="70" xfId="0" applyNumberFormat="1" applyFont="1" applyFill="1" applyBorder="1" applyAlignment="1">
      <alignment horizontal="center"/>
    </xf>
    <xf numFmtId="167" fontId="14" fillId="25" borderId="37" xfId="0" applyNumberFormat="1" applyFont="1" applyFill="1" applyBorder="1" applyAlignment="1">
      <alignment horizontal="center"/>
    </xf>
    <xf numFmtId="167" fontId="14" fillId="25" borderId="38" xfId="0" applyNumberFormat="1" applyFont="1" applyFill="1" applyBorder="1" applyAlignment="1">
      <alignment horizontal="center"/>
    </xf>
    <xf numFmtId="167" fontId="14" fillId="25" borderId="71" xfId="0" applyNumberFormat="1" applyFont="1" applyFill="1" applyBorder="1" applyAlignment="1">
      <alignment horizontal="center"/>
    </xf>
    <xf numFmtId="167" fontId="14" fillId="25" borderId="72" xfId="0" applyNumberFormat="1" applyFont="1" applyFill="1" applyBorder="1" applyAlignment="1">
      <alignment horizontal="center"/>
    </xf>
    <xf numFmtId="167" fontId="14" fillId="25" borderId="73" xfId="0" applyNumberFormat="1" applyFont="1" applyFill="1" applyBorder="1" applyAlignment="1">
      <alignment horizontal="center"/>
    </xf>
    <xf numFmtId="167" fontId="13" fillId="0" borderId="70" xfId="0" applyNumberFormat="1" applyFont="1" applyBorder="1" applyAlignment="1">
      <alignment horizontal="center"/>
    </xf>
    <xf numFmtId="167" fontId="13" fillId="0" borderId="37" xfId="0" applyNumberFormat="1" applyFont="1" applyBorder="1" applyAlignment="1">
      <alignment horizontal="center"/>
    </xf>
    <xf numFmtId="167" fontId="13" fillId="0" borderId="38" xfId="0" applyNumberFormat="1" applyFont="1" applyBorder="1" applyAlignment="1">
      <alignment horizontal="center"/>
    </xf>
    <xf numFmtId="167" fontId="13" fillId="25" borderId="70" xfId="0" applyNumberFormat="1" applyFont="1" applyFill="1" applyBorder="1" applyAlignment="1">
      <alignment horizontal="center"/>
    </xf>
    <xf numFmtId="167" fontId="13" fillId="25" borderId="37" xfId="0" applyNumberFormat="1" applyFont="1" applyFill="1" applyBorder="1" applyAlignment="1">
      <alignment horizontal="center"/>
    </xf>
    <xf numFmtId="167" fontId="13" fillId="25" borderId="38" xfId="0" applyNumberFormat="1" applyFont="1" applyFill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3" fillId="0" borderId="68" xfId="0" applyFont="1" applyBorder="1" applyAlignment="1" quotePrefix="1">
      <alignment horizontal="center" vertical="center"/>
    </xf>
    <xf numFmtId="0" fontId="13" fillId="0" borderId="69" xfId="0" applyFont="1" applyBorder="1" applyAlignment="1" quotePrefix="1">
      <alignment horizontal="center" vertical="center"/>
    </xf>
    <xf numFmtId="167" fontId="14" fillId="25" borderId="68" xfId="0" applyNumberFormat="1" applyFont="1" applyFill="1" applyBorder="1" applyAlignment="1">
      <alignment horizontal="center"/>
    </xf>
    <xf numFmtId="0" fontId="13" fillId="0" borderId="36" xfId="0" applyFont="1" applyBorder="1" applyAlignment="1" quotePrefix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167" fontId="14" fillId="25" borderId="36" xfId="0" applyNumberFormat="1" applyFont="1" applyFill="1" applyBorder="1" applyAlignment="1">
      <alignment horizontal="center"/>
    </xf>
    <xf numFmtId="0" fontId="13" fillId="0" borderId="70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top" wrapText="1"/>
    </xf>
    <xf numFmtId="0" fontId="14" fillId="0" borderId="78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167" fontId="13" fillId="25" borderId="36" xfId="0" applyNumberFormat="1" applyFont="1" applyFill="1" applyBorder="1" applyAlignment="1">
      <alignment horizontal="center"/>
    </xf>
    <xf numFmtId="167" fontId="13" fillId="0" borderId="3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4" fillId="0" borderId="63" xfId="0" applyFont="1" applyBorder="1" applyAlignment="1">
      <alignment vertical="center" wrapText="1"/>
    </xf>
    <xf numFmtId="0" fontId="14" fillId="0" borderId="76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78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170" fontId="14" fillId="25" borderId="30" xfId="40" applyNumberFormat="1" applyFont="1" applyFill="1" applyBorder="1" applyAlignment="1">
      <alignment horizontal="center" wrapText="1"/>
    </xf>
    <xf numFmtId="170" fontId="14" fillId="25" borderId="22" xfId="40" applyNumberFormat="1" applyFont="1" applyFill="1" applyBorder="1" applyAlignment="1">
      <alignment horizontal="center" wrapText="1"/>
    </xf>
    <xf numFmtId="0" fontId="13" fillId="25" borderId="30" xfId="0" applyFont="1" applyFill="1" applyBorder="1" applyAlignment="1">
      <alignment horizontal="center"/>
    </xf>
    <xf numFmtId="0" fontId="13" fillId="25" borderId="22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24" borderId="36" xfId="0" applyFont="1" applyFill="1" applyBorder="1" applyAlignment="1">
      <alignment horizontal="left" vertical="center" wrapText="1"/>
    </xf>
    <xf numFmtId="0" fontId="13" fillId="24" borderId="37" xfId="0" applyFont="1" applyFill="1" applyBorder="1" applyAlignment="1">
      <alignment horizontal="left" vertical="center" wrapText="1"/>
    </xf>
    <xf numFmtId="0" fontId="13" fillId="24" borderId="21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5" fillId="0" borderId="0" xfId="40" applyNumberFormat="1" applyFont="1" applyAlignment="1">
      <alignment horizontal="center"/>
    </xf>
    <xf numFmtId="170" fontId="5" fillId="0" borderId="0" xfId="40" applyNumberFormat="1" applyFont="1" applyAlignment="1">
      <alignment horizontal="center" vertical="center" wrapText="1"/>
    </xf>
    <xf numFmtId="0" fontId="42" fillId="0" borderId="76" xfId="62" applyFont="1" applyFill="1" applyBorder="1" applyAlignment="1">
      <alignment horizontal="justify" vertical="center" wrapText="1"/>
      <protection/>
    </xf>
    <xf numFmtId="0" fontId="51" fillId="0" borderId="0" xfId="62" applyFont="1" applyFill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169" fontId="37" fillId="0" borderId="79" xfId="62" applyNumberFormat="1" applyFont="1" applyFill="1" applyBorder="1" applyAlignment="1">
      <alignment horizontal="center" vertical="center"/>
      <protection/>
    </xf>
    <xf numFmtId="169" fontId="37" fillId="0" borderId="50" xfId="62" applyNumberFormat="1" applyFont="1" applyFill="1" applyBorder="1" applyAlignment="1">
      <alignment horizontal="center" vertical="center"/>
      <protection/>
    </xf>
    <xf numFmtId="169" fontId="37" fillId="0" borderId="43" xfId="62" applyNumberFormat="1" applyFont="1" applyFill="1" applyBorder="1" applyAlignment="1">
      <alignment horizontal="left" vertical="center" wrapText="1" indent="2"/>
      <protection/>
    </xf>
    <xf numFmtId="169" fontId="37" fillId="0" borderId="51" xfId="62" applyNumberFormat="1" applyFont="1" applyFill="1" applyBorder="1" applyAlignment="1">
      <alignment horizontal="left" vertical="center" wrapText="1" indent="2"/>
      <protection/>
    </xf>
    <xf numFmtId="169" fontId="52" fillId="0" borderId="0" xfId="62" applyNumberFormat="1" applyFont="1" applyFill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169" fontId="37" fillId="0" borderId="79" xfId="62" applyNumberFormat="1" applyFont="1" applyFill="1" applyBorder="1" applyAlignment="1">
      <alignment horizontal="center" vertical="center" wrapText="1"/>
      <protection/>
    </xf>
    <xf numFmtId="169" fontId="37" fillId="0" borderId="50" xfId="62" applyNumberFormat="1" applyFont="1" applyFill="1" applyBorder="1" applyAlignment="1">
      <alignment horizontal="center" vertical="center" wrapText="1"/>
      <protection/>
    </xf>
    <xf numFmtId="169" fontId="37" fillId="0" borderId="41" xfId="62" applyNumberFormat="1" applyFont="1" applyFill="1" applyBorder="1" applyAlignment="1">
      <alignment horizontal="center" vertical="center"/>
      <protection/>
    </xf>
    <xf numFmtId="169" fontId="37" fillId="0" borderId="80" xfId="62" applyNumberFormat="1" applyFont="1" applyFill="1" applyBorder="1" applyAlignment="1">
      <alignment horizontal="center" vertical="center"/>
      <protection/>
    </xf>
    <xf numFmtId="169" fontId="37" fillId="0" borderId="81" xfId="62" applyNumberFormat="1" applyFont="1" applyFill="1" applyBorder="1" applyAlignment="1">
      <alignment horizontal="center" vertical="center"/>
      <protection/>
    </xf>
    <xf numFmtId="171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7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2" fillId="0" borderId="29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35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left"/>
      <protection/>
    </xf>
    <xf numFmtId="0" fontId="53" fillId="0" borderId="36" xfId="61" applyFont="1" applyBorder="1" applyAlignment="1">
      <alignment horizontal="left" wrapText="1"/>
      <protection/>
    </xf>
    <xf numFmtId="0" fontId="53" fillId="0" borderId="21" xfId="61" applyFont="1" applyBorder="1" applyAlignment="1">
      <alignment horizontal="left" wrapText="1"/>
      <protection/>
    </xf>
    <xf numFmtId="0" fontId="0" fillId="0" borderId="12" xfId="0" applyBorder="1" applyAlignment="1">
      <alignment horizontal="left"/>
    </xf>
    <xf numFmtId="0" fontId="4" fillId="0" borderId="30" xfId="61" applyFont="1" applyBorder="1" applyAlignment="1">
      <alignment horizontal="left"/>
      <protection/>
    </xf>
    <xf numFmtId="0" fontId="56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6" xfId="0" applyFont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80" fillId="0" borderId="43" xfId="0" applyFont="1" applyBorder="1" applyAlignment="1">
      <alignment horizontal="center"/>
    </xf>
    <xf numFmtId="0" fontId="80" fillId="0" borderId="52" xfId="0" applyFont="1" applyBorder="1" applyAlignment="1">
      <alignment horizontal="center"/>
    </xf>
    <xf numFmtId="0" fontId="80" fillId="0" borderId="5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6" fillId="0" borderId="43" xfId="0" applyFont="1" applyBorder="1" applyAlignment="1">
      <alignment horizontal="center" wrapText="1"/>
    </xf>
    <xf numFmtId="0" fontId="66" fillId="0" borderId="52" xfId="0" applyFont="1" applyBorder="1" applyAlignment="1">
      <alignment horizontal="center" wrapText="1"/>
    </xf>
    <xf numFmtId="0" fontId="66" fillId="0" borderId="51" xfId="0" applyFont="1" applyBorder="1" applyAlignment="1">
      <alignment horizontal="center" wrapText="1"/>
    </xf>
    <xf numFmtId="0" fontId="66" fillId="0" borderId="43" xfId="0" applyFont="1" applyBorder="1" applyAlignment="1">
      <alignment horizontal="center"/>
    </xf>
    <xf numFmtId="0" fontId="66" fillId="0" borderId="52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92" fillId="0" borderId="43" xfId="0" applyFont="1" applyBorder="1" applyAlignment="1">
      <alignment horizontal="center"/>
    </xf>
    <xf numFmtId="0" fontId="93" fillId="0" borderId="52" xfId="0" applyFont="1" applyBorder="1" applyAlignment="1">
      <alignment horizontal="center"/>
    </xf>
    <xf numFmtId="0" fontId="93" fillId="0" borderId="51" xfId="0" applyFont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92" fillId="0" borderId="75" xfId="0" applyFont="1" applyBorder="1" applyAlignment="1">
      <alignment horizontal="center"/>
    </xf>
    <xf numFmtId="0" fontId="92" fillId="0" borderId="76" xfId="0" applyFont="1" applyBorder="1" applyAlignment="1">
      <alignment horizontal="center"/>
    </xf>
    <xf numFmtId="0" fontId="92" fillId="0" borderId="64" xfId="0" applyFont="1" applyBorder="1" applyAlignment="1">
      <alignment horizontal="center"/>
    </xf>
    <xf numFmtId="0" fontId="80" fillId="0" borderId="39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82" xfId="0" applyFont="1" applyBorder="1" applyAlignment="1">
      <alignment horizontal="center"/>
    </xf>
    <xf numFmtId="0" fontId="80" fillId="0" borderId="75" xfId="0" applyFont="1" applyBorder="1" applyAlignment="1">
      <alignment horizontal="center"/>
    </xf>
    <xf numFmtId="0" fontId="80" fillId="0" borderId="76" xfId="0" applyFont="1" applyBorder="1" applyAlignment="1">
      <alignment horizontal="center"/>
    </xf>
    <xf numFmtId="0" fontId="80" fillId="0" borderId="6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4" xfId="0" applyBorder="1" applyAlignment="1">
      <alignment horizontal="center"/>
    </xf>
    <xf numFmtId="0" fontId="92" fillId="0" borderId="43" xfId="0" applyFont="1" applyBorder="1" applyAlignment="1">
      <alignment horizontal="justify" vertical="distributed" wrapText="1"/>
    </xf>
    <xf numFmtId="0" fontId="92" fillId="0" borderId="52" xfId="0" applyFont="1" applyBorder="1" applyAlignment="1">
      <alignment horizontal="justify" vertical="distributed" wrapText="1"/>
    </xf>
    <xf numFmtId="0" fontId="92" fillId="0" borderId="51" xfId="0" applyFont="1" applyBorder="1" applyAlignment="1">
      <alignment horizontal="justify" vertical="distributed" wrapText="1"/>
    </xf>
    <xf numFmtId="0" fontId="92" fillId="0" borderId="52" xfId="0" applyFont="1" applyBorder="1" applyAlignment="1">
      <alignment horizontal="center"/>
    </xf>
    <xf numFmtId="0" fontId="92" fillId="0" borderId="51" xfId="0" applyFont="1" applyBorder="1" applyAlignment="1">
      <alignment horizontal="center"/>
    </xf>
    <xf numFmtId="0" fontId="50" fillId="0" borderId="43" xfId="0" applyFont="1" applyBorder="1" applyAlignment="1">
      <alignment horizontal="center" vertical="distributed" wrapText="1"/>
    </xf>
    <xf numFmtId="0" fontId="50" fillId="0" borderId="52" xfId="0" applyFont="1" applyBorder="1" applyAlignment="1">
      <alignment horizontal="center" vertical="distributed" wrapText="1"/>
    </xf>
    <xf numFmtId="0" fontId="50" fillId="0" borderId="51" xfId="0" applyFont="1" applyBorder="1" applyAlignment="1">
      <alignment horizontal="center" vertical="distributed" wrapText="1"/>
    </xf>
    <xf numFmtId="0" fontId="57" fillId="0" borderId="43" xfId="0" applyFont="1" applyBorder="1" applyAlignment="1" quotePrefix="1">
      <alignment horizontal="center" vertical="center"/>
    </xf>
    <xf numFmtId="0" fontId="57" fillId="0" borderId="52" xfId="0" applyFont="1" applyBorder="1" applyAlignment="1" quotePrefix="1">
      <alignment horizontal="center" vertical="center"/>
    </xf>
    <xf numFmtId="0" fontId="57" fillId="0" borderId="56" xfId="0" applyFont="1" applyBorder="1" applyAlignment="1" quotePrefix="1">
      <alignment horizontal="center" vertical="center"/>
    </xf>
    <xf numFmtId="49" fontId="82" fillId="0" borderId="44" xfId="0" applyNumberFormat="1" applyFont="1" applyBorder="1" applyAlignment="1">
      <alignment horizontal="center"/>
    </xf>
    <xf numFmtId="49" fontId="82" fillId="0" borderId="51" xfId="0" applyNumberFormat="1" applyFont="1" applyBorder="1" applyAlignment="1">
      <alignment horizontal="center"/>
    </xf>
    <xf numFmtId="0" fontId="62" fillId="0" borderId="71" xfId="0" applyFont="1" applyBorder="1" applyAlignment="1">
      <alignment horizontal="left" vertical="center" wrapText="1"/>
    </xf>
    <xf numFmtId="0" fontId="62" fillId="0" borderId="72" xfId="0" applyFont="1" applyBorder="1" applyAlignment="1">
      <alignment horizontal="left" vertical="center" wrapText="1"/>
    </xf>
    <xf numFmtId="0" fontId="62" fillId="0" borderId="73" xfId="0" applyFont="1" applyBorder="1" applyAlignment="1">
      <alignment horizontal="left" vertical="center" wrapText="1"/>
    </xf>
    <xf numFmtId="0" fontId="62" fillId="0" borderId="71" xfId="0" applyFont="1" applyBorder="1" applyAlignment="1" quotePrefix="1">
      <alignment horizontal="center" vertical="center"/>
    </xf>
    <xf numFmtId="0" fontId="62" fillId="0" borderId="72" xfId="0" applyFont="1" applyBorder="1" applyAlignment="1" quotePrefix="1">
      <alignment horizontal="center" vertical="center"/>
    </xf>
    <xf numFmtId="0" fontId="62" fillId="0" borderId="69" xfId="0" applyFont="1" applyBorder="1" applyAlignment="1" quotePrefix="1">
      <alignment horizontal="center" vertical="center"/>
    </xf>
    <xf numFmtId="49" fontId="2" fillId="0" borderId="68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0" fontId="57" fillId="0" borderId="43" xfId="0" applyFont="1" applyBorder="1" applyAlignment="1">
      <alignment horizontal="left" vertical="center" wrapText="1"/>
    </xf>
    <xf numFmtId="0" fontId="57" fillId="0" borderId="52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43" xfId="0" applyFont="1" applyBorder="1" applyAlignment="1" quotePrefix="1">
      <alignment horizontal="center" vertical="center"/>
    </xf>
    <xf numFmtId="0" fontId="15" fillId="0" borderId="52" xfId="0" applyFont="1" applyBorder="1" applyAlignment="1" quotePrefix="1">
      <alignment horizontal="center" vertical="center"/>
    </xf>
    <xf numFmtId="0" fontId="15" fillId="0" borderId="56" xfId="0" applyFont="1" applyBorder="1" applyAlignment="1" quotePrefix="1">
      <alignment horizontal="center" vertical="center"/>
    </xf>
    <xf numFmtId="49" fontId="83" fillId="0" borderId="44" xfId="0" applyNumberFormat="1" applyFont="1" applyBorder="1" applyAlignment="1">
      <alignment horizontal="center"/>
    </xf>
    <xf numFmtId="49" fontId="83" fillId="0" borderId="51" xfId="0" applyNumberFormat="1" applyFont="1" applyBorder="1" applyAlignment="1">
      <alignment horizontal="center"/>
    </xf>
    <xf numFmtId="0" fontId="62" fillId="0" borderId="41" xfId="0" applyFont="1" applyBorder="1" applyAlignment="1">
      <alignment horizontal="left" vertical="center" wrapText="1"/>
    </xf>
    <xf numFmtId="0" fontId="62" fillId="0" borderId="80" xfId="0" applyFont="1" applyBorder="1" applyAlignment="1">
      <alignment horizontal="left" vertical="center" wrapText="1"/>
    </xf>
    <xf numFmtId="0" fontId="62" fillId="0" borderId="81" xfId="0" applyFont="1" applyBorder="1" applyAlignment="1">
      <alignment horizontal="left" vertical="center" wrapText="1"/>
    </xf>
    <xf numFmtId="0" fontId="62" fillId="0" borderId="41" xfId="0" applyFont="1" applyBorder="1" applyAlignment="1" quotePrefix="1">
      <alignment horizontal="center" vertical="center"/>
    </xf>
    <xf numFmtId="0" fontId="62" fillId="0" borderId="80" xfId="0" applyFont="1" applyBorder="1" applyAlignment="1" quotePrefix="1">
      <alignment horizontal="center" vertical="center"/>
    </xf>
    <xf numFmtId="0" fontId="62" fillId="0" borderId="54" xfId="0" applyFont="1" applyBorder="1" applyAlignment="1" quotePrefix="1">
      <alignment horizontal="center" vertical="center"/>
    </xf>
    <xf numFmtId="49" fontId="2" fillId="0" borderId="57" xfId="0" applyNumberFormat="1" applyFont="1" applyBorder="1" applyAlignment="1">
      <alignment horizontal="center"/>
    </xf>
    <xf numFmtId="49" fontId="2" fillId="0" borderId="81" xfId="0" applyNumberFormat="1" applyFont="1" applyBorder="1" applyAlignment="1">
      <alignment horizontal="center"/>
    </xf>
    <xf numFmtId="0" fontId="62" fillId="0" borderId="70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62" fillId="0" borderId="70" xfId="0" applyFont="1" applyBorder="1" applyAlignment="1" quotePrefix="1">
      <alignment horizontal="center" vertical="center"/>
    </xf>
    <xf numFmtId="0" fontId="62" fillId="0" borderId="37" xfId="0" applyFont="1" applyBorder="1" applyAlignment="1" quotePrefix="1">
      <alignment horizontal="center" vertical="center"/>
    </xf>
    <xf numFmtId="0" fontId="62" fillId="0" borderId="21" xfId="0" applyFont="1" applyBorder="1" applyAlignment="1" quotePrefix="1">
      <alignment horizontal="center" vertical="center"/>
    </xf>
    <xf numFmtId="49" fontId="0" fillId="0" borderId="36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62" fillId="0" borderId="70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63" fillId="0" borderId="75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wrapText="1"/>
    </xf>
    <xf numFmtId="0" fontId="82" fillId="0" borderId="25" xfId="0" applyFont="1" applyBorder="1" applyAlignment="1">
      <alignment horizontal="center" wrapText="1"/>
    </xf>
    <xf numFmtId="0" fontId="58" fillId="0" borderId="33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3" fontId="58" fillId="0" borderId="34" xfId="0" applyNumberFormat="1" applyFont="1" applyBorder="1" applyAlignment="1">
      <alignment horizontal="center" wrapText="1"/>
    </xf>
    <xf numFmtId="3" fontId="58" fillId="0" borderId="20" xfId="0" applyNumberFormat="1" applyFont="1" applyBorder="1" applyAlignment="1">
      <alignment horizontal="center" wrapText="1"/>
    </xf>
    <xf numFmtId="3" fontId="58" fillId="0" borderId="45" xfId="0" applyNumberFormat="1" applyFont="1" applyBorder="1" applyAlignment="1">
      <alignment horizontal="center" wrapText="1"/>
    </xf>
    <xf numFmtId="3" fontId="58" fillId="0" borderId="48" xfId="0" applyNumberFormat="1" applyFont="1" applyBorder="1" applyAlignment="1">
      <alignment horizontal="center" wrapText="1"/>
    </xf>
    <xf numFmtId="0" fontId="82" fillId="0" borderId="36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center" vertical="distributed" wrapText="1"/>
    </xf>
    <xf numFmtId="0" fontId="50" fillId="0" borderId="74" xfId="0" applyFont="1" applyBorder="1" applyAlignment="1">
      <alignment horizontal="center" vertical="distributed" wrapText="1"/>
    </xf>
    <xf numFmtId="0" fontId="50" fillId="0" borderId="53" xfId="0" applyFont="1" applyBorder="1" applyAlignment="1">
      <alignment horizontal="center" vertical="distributed" wrapText="1"/>
    </xf>
    <xf numFmtId="0" fontId="57" fillId="0" borderId="74" xfId="0" applyFont="1" applyBorder="1" applyAlignment="1" quotePrefix="1">
      <alignment horizontal="center" vertical="center"/>
    </xf>
    <xf numFmtId="0" fontId="57" fillId="0" borderId="83" xfId="0" applyFont="1" applyBorder="1" applyAlignment="1" quotePrefix="1">
      <alignment horizontal="center" vertical="center"/>
    </xf>
    <xf numFmtId="49" fontId="82" fillId="0" borderId="84" xfId="0" applyNumberFormat="1" applyFont="1" applyBorder="1" applyAlignment="1">
      <alignment horizontal="center"/>
    </xf>
    <xf numFmtId="49" fontId="82" fillId="0" borderId="53" xfId="0" applyNumberFormat="1" applyFont="1" applyBorder="1" applyAlignment="1">
      <alignment horizontal="center"/>
    </xf>
    <xf numFmtId="0" fontId="62" fillId="0" borderId="77" xfId="0" applyFont="1" applyBorder="1" applyAlignment="1">
      <alignment horizontal="left" vertical="center" wrapText="1"/>
    </xf>
    <xf numFmtId="0" fontId="62" fillId="0" borderId="78" xfId="0" applyFont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 wrapText="1"/>
    </xf>
    <xf numFmtId="0" fontId="62" fillId="0" borderId="78" xfId="0" applyFont="1" applyBorder="1" applyAlignment="1" quotePrefix="1">
      <alignment horizontal="center" vertical="center"/>
    </xf>
    <xf numFmtId="0" fontId="62" fillId="0" borderId="19" xfId="0" applyFont="1" applyBorder="1" applyAlignment="1" quotePrefix="1">
      <alignment horizontal="center" vertic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62" fillId="0" borderId="85" xfId="0" applyFont="1" applyBorder="1" applyAlignment="1">
      <alignment horizontal="left" vertical="center" wrapText="1"/>
    </xf>
    <xf numFmtId="0" fontId="62" fillId="0" borderId="62" xfId="0" applyFont="1" applyBorder="1" applyAlignment="1">
      <alignment horizontal="left" vertical="center" wrapText="1"/>
    </xf>
    <xf numFmtId="0" fontId="62" fillId="0" borderId="86" xfId="0" applyFont="1" applyBorder="1" applyAlignment="1">
      <alignment horizontal="left" vertical="center" wrapText="1"/>
    </xf>
    <xf numFmtId="0" fontId="62" fillId="0" borderId="62" xfId="0" applyFont="1" applyBorder="1" applyAlignment="1" quotePrefix="1">
      <alignment horizontal="center" vertical="center"/>
    </xf>
    <xf numFmtId="0" fontId="62" fillId="0" borderId="55" xfId="0" applyFont="1" applyBorder="1" applyAlignment="1" quotePrefix="1">
      <alignment horizontal="center" vertical="center"/>
    </xf>
    <xf numFmtId="49" fontId="2" fillId="0" borderId="61" xfId="0" applyNumberFormat="1" applyFont="1" applyBorder="1" applyAlignment="1">
      <alignment horizontal="center"/>
    </xf>
    <xf numFmtId="49" fontId="2" fillId="0" borderId="86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3" fontId="58" fillId="0" borderId="87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2" fillId="0" borderId="88" xfId="0" applyFont="1" applyBorder="1" applyAlignment="1">
      <alignment horizontal="center" wrapText="1"/>
    </xf>
    <xf numFmtId="0" fontId="58" fillId="0" borderId="58" xfId="0" applyFont="1" applyBorder="1" applyAlignment="1">
      <alignment horizontal="center" wrapText="1"/>
    </xf>
    <xf numFmtId="0" fontId="94" fillId="0" borderId="43" xfId="0" applyFont="1" applyBorder="1" applyAlignment="1">
      <alignment horizontal="center"/>
    </xf>
    <xf numFmtId="0" fontId="94" fillId="0" borderId="52" xfId="0" applyFont="1" applyBorder="1" applyAlignment="1">
      <alignment horizontal="center"/>
    </xf>
    <xf numFmtId="0" fontId="94" fillId="0" borderId="51" xfId="0" applyFont="1" applyBorder="1" applyAlignment="1">
      <alignment horizontal="center"/>
    </xf>
    <xf numFmtId="0" fontId="82" fillId="0" borderId="43" xfId="0" applyFont="1" applyBorder="1" applyAlignment="1">
      <alignment horizontal="center"/>
    </xf>
    <xf numFmtId="0" fontId="82" fillId="0" borderId="52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82" fillId="0" borderId="75" xfId="0" applyFont="1" applyBorder="1" applyAlignment="1">
      <alignment horizontal="center"/>
    </xf>
    <xf numFmtId="0" fontId="82" fillId="0" borderId="76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2" fillId="0" borderId="74" xfId="0" applyFont="1" applyBorder="1" applyAlignment="1">
      <alignment horizontal="center"/>
    </xf>
    <xf numFmtId="0" fontId="94" fillId="0" borderId="43" xfId="0" applyFont="1" applyBorder="1" applyAlignment="1">
      <alignment horizontal="center" vertical="distributed" wrapText="1"/>
    </xf>
    <xf numFmtId="0" fontId="94" fillId="0" borderId="52" xfId="0" applyFont="1" applyBorder="1" applyAlignment="1">
      <alignment horizontal="center" vertical="distributed" wrapText="1"/>
    </xf>
    <xf numFmtId="0" fontId="94" fillId="0" borderId="51" xfId="0" applyFont="1" applyBorder="1" applyAlignment="1">
      <alignment horizontal="center" vertical="distributed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Magyarázó szöveg" xfId="60"/>
    <cellStyle name="Normál_Ktgvetési rendelet mellékletek_2008_Eszteregnye" xfId="61"/>
    <cellStyle name="Normál_KVIREND" xfId="62"/>
    <cellStyle name="Normál_likviditási ter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9_&#233;vi_k&#246;lts&#233;gvet&#233;s\Szentgy&#246;rgyv&#225;ri_&#246;nk\Ktgvet&#233;s_b&#233;rtervez&#233;se_Sztgyv&#225;r&#214;nk_v&#233;gleg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ér "/>
      <sheetName val="bér_jár_Cofogszerint"/>
      <sheetName val="dologi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>
        <row r="4">
          <cell r="X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.625" style="3" customWidth="1"/>
    <col min="2" max="2" width="48.125" style="2" customWidth="1"/>
    <col min="3" max="3" width="21.25390625" style="2" customWidth="1"/>
    <col min="4" max="10" width="9.125" style="2" customWidth="1"/>
    <col min="11" max="16384" width="9.125" style="3" customWidth="1"/>
  </cols>
  <sheetData>
    <row r="1" spans="1:6" ht="21.75" customHeight="1">
      <c r="A1" s="473"/>
      <c r="B1" s="473"/>
      <c r="C1" s="473"/>
      <c r="D1" s="1"/>
      <c r="E1" s="1"/>
      <c r="F1" s="1"/>
    </row>
    <row r="2" spans="1:7" ht="30" customHeight="1">
      <c r="A2" s="474"/>
      <c r="B2" s="474"/>
      <c r="C2" s="474"/>
      <c r="D2" s="5"/>
      <c r="E2" s="5"/>
      <c r="F2" s="5"/>
      <c r="G2" s="5"/>
    </row>
    <row r="3" spans="2:7" ht="30" customHeight="1">
      <c r="B3" s="4"/>
      <c r="C3" s="4"/>
      <c r="D3" s="4"/>
      <c r="E3" s="5"/>
      <c r="F3" s="5"/>
      <c r="G3" s="5"/>
    </row>
    <row r="4" spans="2:7" ht="21.75" customHeight="1">
      <c r="B4" s="6"/>
      <c r="C4" s="4"/>
      <c r="D4" s="4"/>
      <c r="E4" s="4"/>
      <c r="F4" s="4"/>
      <c r="G4" s="5"/>
    </row>
    <row r="5" spans="2:3" ht="19.5" thickBot="1">
      <c r="B5" s="7"/>
      <c r="C5" s="8"/>
    </row>
    <row r="6" spans="1:3" ht="27.75" customHeight="1">
      <c r="A6" s="475" t="s">
        <v>176</v>
      </c>
      <c r="B6" s="476"/>
      <c r="C6" s="477"/>
    </row>
    <row r="7" spans="1:3" ht="18.75">
      <c r="A7" s="9" t="s">
        <v>177</v>
      </c>
      <c r="B7" s="471" t="s">
        <v>219</v>
      </c>
      <c r="C7" s="472"/>
    </row>
    <row r="8" spans="1:10" s="10" customFormat="1" ht="18.75">
      <c r="A8" s="9"/>
      <c r="B8" s="471"/>
      <c r="C8" s="472"/>
      <c r="D8" s="2"/>
      <c r="E8" s="2"/>
      <c r="F8" s="2"/>
      <c r="G8" s="2"/>
      <c r="H8" s="2"/>
      <c r="I8" s="2"/>
      <c r="J8" s="2"/>
    </row>
    <row r="9" ht="15.75">
      <c r="B9" s="4"/>
    </row>
  </sheetData>
  <sheetProtection/>
  <mergeCells count="5">
    <mergeCell ref="B8:C8"/>
    <mergeCell ref="A1:C1"/>
    <mergeCell ref="A2:C2"/>
    <mergeCell ref="A6:C6"/>
    <mergeCell ref="B7:C7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J24"/>
  <sheetViews>
    <sheetView view="pageBreakPreview" zoomScaleSheetLayoutView="100" zoomScalePageLayoutView="0" workbookViewId="0" topLeftCell="A7">
      <selection activeCell="O13" sqref="O13"/>
    </sheetView>
  </sheetViews>
  <sheetFormatPr defaultColWidth="9.00390625" defaultRowHeight="12.75"/>
  <cols>
    <col min="1" max="1" width="14.875" style="40" customWidth="1"/>
    <col min="2" max="2" width="25.875" style="40" customWidth="1"/>
    <col min="3" max="3" width="5.00390625" style="40" customWidth="1"/>
    <col min="4" max="4" width="7.00390625" style="40" customWidth="1"/>
    <col min="5" max="5" width="4.625" style="40" customWidth="1"/>
    <col min="6" max="6" width="9.75390625" style="40" customWidth="1"/>
    <col min="7" max="7" width="21.75390625" style="0" customWidth="1"/>
    <col min="8" max="9" width="9.125" style="0" hidden="1" customWidth="1"/>
    <col min="10" max="10" width="0.37109375" style="0" customWidth="1"/>
  </cols>
  <sheetData>
    <row r="2" spans="1:6" ht="24.75" customHeight="1">
      <c r="A2" s="644" t="s">
        <v>499</v>
      </c>
      <c r="B2" s="644"/>
      <c r="C2" s="644"/>
      <c r="D2" s="644"/>
      <c r="E2" s="644"/>
      <c r="F2" s="644"/>
    </row>
    <row r="3" spans="1:6" ht="21" customHeight="1">
      <c r="A3" s="648" t="s">
        <v>220</v>
      </c>
      <c r="B3" s="649"/>
      <c r="C3" s="667"/>
      <c r="D3" s="667"/>
      <c r="E3" s="667"/>
      <c r="F3" s="667"/>
    </row>
    <row r="4" spans="1:6" ht="21" customHeight="1">
      <c r="A4" s="668"/>
      <c r="B4" s="668"/>
      <c r="C4" s="668"/>
      <c r="D4" s="668"/>
      <c r="E4" s="668"/>
      <c r="F4" s="668"/>
    </row>
    <row r="5" spans="1:6" ht="21" customHeight="1">
      <c r="A5" s="644" t="s">
        <v>193</v>
      </c>
      <c r="B5" s="644"/>
      <c r="C5" s="644"/>
      <c r="D5" s="644"/>
      <c r="E5" s="644"/>
      <c r="F5" s="644"/>
    </row>
    <row r="6" ht="21" customHeight="1">
      <c r="E6" s="40" t="s">
        <v>218</v>
      </c>
    </row>
    <row r="7" spans="1:10" ht="45.75" customHeight="1">
      <c r="A7" s="42" t="s">
        <v>31</v>
      </c>
      <c r="B7" s="42" t="s">
        <v>32</v>
      </c>
      <c r="C7" s="662" t="s">
        <v>632</v>
      </c>
      <c r="D7" s="662"/>
      <c r="E7" s="662"/>
      <c r="F7" s="662"/>
      <c r="G7" s="662" t="s">
        <v>633</v>
      </c>
      <c r="H7" s="662"/>
      <c r="I7" s="662"/>
      <c r="J7" s="662"/>
    </row>
    <row r="8" spans="1:10" ht="36" customHeight="1">
      <c r="A8" s="187" t="s">
        <v>226</v>
      </c>
      <c r="B8" s="44" t="s">
        <v>34</v>
      </c>
      <c r="C8" s="670">
        <v>2</v>
      </c>
      <c r="D8" s="670"/>
      <c r="E8" s="670"/>
      <c r="F8" s="670"/>
      <c r="G8" s="670">
        <v>1</v>
      </c>
      <c r="H8" s="670"/>
      <c r="I8" s="670"/>
      <c r="J8" s="670"/>
    </row>
    <row r="9" spans="1:10" ht="36" customHeight="1">
      <c r="A9" s="187" t="s">
        <v>227</v>
      </c>
      <c r="B9" s="44" t="s">
        <v>222</v>
      </c>
      <c r="C9" s="664">
        <v>1</v>
      </c>
      <c r="D9" s="674"/>
      <c r="E9" s="674"/>
      <c r="F9" s="675"/>
      <c r="G9" s="664">
        <v>1</v>
      </c>
      <c r="H9" s="674"/>
      <c r="I9" s="674"/>
      <c r="J9" s="675"/>
    </row>
    <row r="10" spans="1:10" ht="23.25" customHeight="1">
      <c r="A10" s="187" t="s">
        <v>550</v>
      </c>
      <c r="B10" s="44" t="s">
        <v>500</v>
      </c>
      <c r="C10" s="676">
        <v>0.5</v>
      </c>
      <c r="D10" s="677"/>
      <c r="E10" s="677"/>
      <c r="F10" s="678"/>
      <c r="G10" s="676">
        <v>0.5</v>
      </c>
      <c r="H10" s="677"/>
      <c r="I10" s="677"/>
      <c r="J10" s="678"/>
    </row>
    <row r="11" spans="1:10" ht="36.75" customHeight="1">
      <c r="A11" s="187">
        <v>13350</v>
      </c>
      <c r="B11" s="44"/>
      <c r="C11" s="671">
        <v>0.5</v>
      </c>
      <c r="D11" s="672"/>
      <c r="E11" s="672"/>
      <c r="F11" s="673"/>
      <c r="G11" s="671">
        <v>0.5</v>
      </c>
      <c r="H11" s="672"/>
      <c r="I11" s="672"/>
      <c r="J11" s="673"/>
    </row>
    <row r="12" spans="1:10" ht="15.75">
      <c r="A12" s="43"/>
      <c r="B12" s="44"/>
      <c r="C12" s="669"/>
      <c r="D12" s="669"/>
      <c r="E12" s="669"/>
      <c r="F12" s="669"/>
      <c r="G12" s="669"/>
      <c r="H12" s="669"/>
      <c r="I12" s="669"/>
      <c r="J12" s="669"/>
    </row>
    <row r="13" spans="1:10" ht="32.25" customHeight="1">
      <c r="A13" s="43"/>
      <c r="B13" s="44"/>
      <c r="C13" s="664"/>
      <c r="D13" s="665"/>
      <c r="E13" s="665"/>
      <c r="F13" s="666"/>
      <c r="G13" s="664"/>
      <c r="H13" s="665"/>
      <c r="I13" s="665"/>
      <c r="J13" s="666"/>
    </row>
    <row r="14" spans="1:10" ht="21" customHeight="1">
      <c r="A14" s="662" t="s">
        <v>35</v>
      </c>
      <c r="B14" s="662"/>
      <c r="C14" s="663">
        <f>SUM(C8:F13)</f>
        <v>4</v>
      </c>
      <c r="D14" s="663"/>
      <c r="E14" s="663"/>
      <c r="F14" s="663"/>
      <c r="G14" s="663">
        <f>SUM(G8:J13)</f>
        <v>3</v>
      </c>
      <c r="H14" s="663"/>
      <c r="I14" s="663"/>
      <c r="J14" s="663"/>
    </row>
    <row r="15" spans="1:2" ht="21" customHeight="1">
      <c r="A15" s="45"/>
      <c r="B15" s="45"/>
    </row>
    <row r="16" spans="1:6" ht="21" customHeight="1">
      <c r="A16" s="644" t="s">
        <v>163</v>
      </c>
      <c r="B16" s="644"/>
      <c r="C16" s="644"/>
      <c r="D16" s="644"/>
      <c r="E16" s="644"/>
      <c r="F16" s="644"/>
    </row>
    <row r="17" ht="21" customHeight="1"/>
    <row r="18" spans="1:6" ht="32.25" customHeight="1">
      <c r="A18" s="42" t="s">
        <v>31</v>
      </c>
      <c r="B18" s="42" t="s">
        <v>32</v>
      </c>
      <c r="C18" s="662" t="s">
        <v>33</v>
      </c>
      <c r="D18" s="662"/>
      <c r="E18" s="662"/>
      <c r="F18" s="662"/>
    </row>
    <row r="19" spans="1:6" ht="30.75" customHeight="1">
      <c r="A19" s="187" t="s">
        <v>228</v>
      </c>
      <c r="B19" s="44" t="s">
        <v>223</v>
      </c>
      <c r="C19" s="661">
        <v>1</v>
      </c>
      <c r="D19" s="661"/>
      <c r="E19" s="661"/>
      <c r="F19" s="661"/>
    </row>
    <row r="20" spans="1:6" ht="21" customHeight="1">
      <c r="A20" s="662" t="s">
        <v>35</v>
      </c>
      <c r="B20" s="662"/>
      <c r="C20" s="663">
        <f>SUM(C19:F19)</f>
        <v>1</v>
      </c>
      <c r="D20" s="663"/>
      <c r="E20" s="663"/>
      <c r="F20" s="663"/>
    </row>
    <row r="21" ht="21" customHeight="1"/>
    <row r="24" ht="12.75">
      <c r="D24" s="185"/>
    </row>
  </sheetData>
  <sheetProtection/>
  <mergeCells count="26">
    <mergeCell ref="G13:J13"/>
    <mergeCell ref="G14:J14"/>
    <mergeCell ref="G7:J7"/>
    <mergeCell ref="G8:J8"/>
    <mergeCell ref="G9:J9"/>
    <mergeCell ref="G10:J10"/>
    <mergeCell ref="G11:J11"/>
    <mergeCell ref="G12:J12"/>
    <mergeCell ref="A2:F2"/>
    <mergeCell ref="A3:F3"/>
    <mergeCell ref="A4:F4"/>
    <mergeCell ref="C12:F12"/>
    <mergeCell ref="A5:F5"/>
    <mergeCell ref="C7:F7"/>
    <mergeCell ref="C8:F8"/>
    <mergeCell ref="C11:F11"/>
    <mergeCell ref="C9:F9"/>
    <mergeCell ref="C10:F10"/>
    <mergeCell ref="C19:F19"/>
    <mergeCell ref="A16:F16"/>
    <mergeCell ref="A20:B20"/>
    <mergeCell ref="C20:F20"/>
    <mergeCell ref="C13:F13"/>
    <mergeCell ref="A14:B14"/>
    <mergeCell ref="C14:F14"/>
    <mergeCell ref="C18:F18"/>
  </mergeCells>
  <printOptions/>
  <pageMargins left="0.86" right="0.16" top="0.43" bottom="0.54" header="0.16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Q65"/>
  <sheetViews>
    <sheetView view="pageBreakPreview" zoomScaleSheetLayoutView="100" zoomScalePageLayoutView="0" workbookViewId="0" topLeftCell="A7">
      <selection activeCell="K16" sqref="K16"/>
    </sheetView>
  </sheetViews>
  <sheetFormatPr defaultColWidth="9.00390625" defaultRowHeight="12.75"/>
  <cols>
    <col min="1" max="1" width="38.25390625" style="31" customWidth="1"/>
    <col min="2" max="2" width="10.25390625" style="31" customWidth="1"/>
    <col min="3" max="13" width="9.625" style="31" customWidth="1"/>
    <col min="14" max="14" width="10.625" style="31" bestFit="1" customWidth="1"/>
    <col min="15" max="15" width="11.625" style="26" customWidth="1"/>
    <col min="16" max="16384" width="9.125" style="26" customWidth="1"/>
  </cols>
  <sheetData>
    <row r="1" spans="1:14" ht="15.75">
      <c r="A1" s="679" t="s">
        <v>601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4" ht="24" customHeight="1">
      <c r="A2" s="679" t="s">
        <v>600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</row>
    <row r="3" spans="1:14" ht="12.75" customHeight="1">
      <c r="A3" s="680" t="s">
        <v>225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</row>
    <row r="4" spans="1:14" ht="19.5" customHeigh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</row>
    <row r="5" spans="1:14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680" t="s">
        <v>2</v>
      </c>
      <c r="N5" s="680"/>
    </row>
    <row r="6" spans="1:14" ht="18" customHeight="1">
      <c r="A6" s="27" t="s">
        <v>171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7" t="s">
        <v>15</v>
      </c>
    </row>
    <row r="7" spans="1:15" ht="18" customHeight="1">
      <c r="A7" s="38" t="s">
        <v>172</v>
      </c>
      <c r="B7" s="33">
        <v>985</v>
      </c>
      <c r="C7" s="33">
        <v>985</v>
      </c>
      <c r="D7" s="33">
        <v>985</v>
      </c>
      <c r="E7" s="33">
        <v>985</v>
      </c>
      <c r="F7" s="33">
        <v>985</v>
      </c>
      <c r="G7" s="33">
        <v>985</v>
      </c>
      <c r="H7" s="33">
        <v>985</v>
      </c>
      <c r="I7" s="33">
        <v>1240</v>
      </c>
      <c r="J7" s="33">
        <v>1240</v>
      </c>
      <c r="K7" s="33">
        <v>1240</v>
      </c>
      <c r="L7" s="33">
        <v>1240</v>
      </c>
      <c r="M7" s="33">
        <v>1239</v>
      </c>
      <c r="N7" s="34">
        <f aca="true" t="shared" si="0" ref="N7:N15">SUM(B7:M7)</f>
        <v>13094</v>
      </c>
      <c r="O7" s="26">
        <v>13094</v>
      </c>
    </row>
    <row r="8" spans="1:15" ht="18" customHeight="1">
      <c r="A8" s="38" t="s">
        <v>16</v>
      </c>
      <c r="B8" s="33">
        <v>176</v>
      </c>
      <c r="C8" s="33">
        <v>176</v>
      </c>
      <c r="D8" s="33">
        <v>176</v>
      </c>
      <c r="E8" s="33">
        <v>176</v>
      </c>
      <c r="F8" s="33">
        <v>176</v>
      </c>
      <c r="G8" s="33">
        <v>176</v>
      </c>
      <c r="H8" s="33">
        <v>176</v>
      </c>
      <c r="I8" s="33">
        <v>218</v>
      </c>
      <c r="J8" s="33">
        <v>218</v>
      </c>
      <c r="K8" s="33">
        <v>218</v>
      </c>
      <c r="L8" s="33">
        <v>217</v>
      </c>
      <c r="M8" s="33">
        <v>217</v>
      </c>
      <c r="N8" s="34">
        <f t="shared" si="0"/>
        <v>2320</v>
      </c>
      <c r="O8" s="26">
        <v>2320</v>
      </c>
    </row>
    <row r="9" spans="1:15" ht="18" customHeight="1">
      <c r="A9" s="38" t="s">
        <v>181</v>
      </c>
      <c r="B9" s="33">
        <v>1637</v>
      </c>
      <c r="C9" s="33">
        <v>1637</v>
      </c>
      <c r="D9" s="33">
        <v>1637</v>
      </c>
      <c r="E9" s="33">
        <v>1637</v>
      </c>
      <c r="F9" s="33">
        <v>2265</v>
      </c>
      <c r="G9" s="33">
        <v>2265</v>
      </c>
      <c r="H9" s="33">
        <v>2265</v>
      </c>
      <c r="I9" s="33">
        <v>3444</v>
      </c>
      <c r="J9" s="33">
        <v>3444</v>
      </c>
      <c r="K9" s="33">
        <v>3444</v>
      </c>
      <c r="L9" s="33">
        <v>3444</v>
      </c>
      <c r="M9" s="33">
        <v>3443</v>
      </c>
      <c r="N9" s="34">
        <f t="shared" si="0"/>
        <v>30562</v>
      </c>
      <c r="O9" s="26">
        <v>30562</v>
      </c>
    </row>
    <row r="10" spans="1:15" ht="18" customHeight="1">
      <c r="A10" s="38" t="s">
        <v>17</v>
      </c>
      <c r="B10" s="33">
        <v>222</v>
      </c>
      <c r="C10" s="33">
        <v>222</v>
      </c>
      <c r="D10" s="33">
        <v>222</v>
      </c>
      <c r="E10" s="33">
        <v>214</v>
      </c>
      <c r="F10" s="33">
        <v>222</v>
      </c>
      <c r="G10" s="33">
        <v>222</v>
      </c>
      <c r="H10" s="33">
        <v>222</v>
      </c>
      <c r="I10" s="33">
        <v>206</v>
      </c>
      <c r="J10" s="33">
        <v>208</v>
      </c>
      <c r="K10" s="33">
        <v>206</v>
      </c>
      <c r="L10" s="33">
        <v>206</v>
      </c>
      <c r="M10" s="33">
        <v>206</v>
      </c>
      <c r="N10" s="34">
        <f t="shared" si="0"/>
        <v>2578</v>
      </c>
      <c r="O10" s="26">
        <v>2578</v>
      </c>
    </row>
    <row r="11" spans="1:15" ht="18" customHeight="1">
      <c r="A11" s="38" t="s">
        <v>18</v>
      </c>
      <c r="B11" s="33">
        <v>300</v>
      </c>
      <c r="C11" s="33">
        <v>300</v>
      </c>
      <c r="D11" s="33">
        <v>300</v>
      </c>
      <c r="E11" s="33">
        <v>300</v>
      </c>
      <c r="F11" s="33">
        <v>300</v>
      </c>
      <c r="G11" s="33">
        <v>300</v>
      </c>
      <c r="H11" s="33">
        <v>300</v>
      </c>
      <c r="I11" s="33">
        <v>300</v>
      </c>
      <c r="J11" s="33">
        <v>299</v>
      </c>
      <c r="K11" s="33">
        <v>299</v>
      </c>
      <c r="L11" s="33">
        <v>299</v>
      </c>
      <c r="M11" s="33">
        <v>542</v>
      </c>
      <c r="N11" s="34">
        <f t="shared" si="0"/>
        <v>3839</v>
      </c>
      <c r="O11" s="88">
        <v>3839</v>
      </c>
    </row>
    <row r="12" spans="1:15" ht="18" customHeight="1">
      <c r="A12" s="38" t="s">
        <v>257</v>
      </c>
      <c r="B12" s="33">
        <v>1318</v>
      </c>
      <c r="C12" s="33">
        <v>1357</v>
      </c>
      <c r="D12" s="33">
        <v>1318</v>
      </c>
      <c r="E12" s="33">
        <v>30260</v>
      </c>
      <c r="F12" s="33">
        <v>1318</v>
      </c>
      <c r="G12" s="33">
        <v>1318</v>
      </c>
      <c r="H12" s="33">
        <v>1318</v>
      </c>
      <c r="I12" s="33">
        <v>1318</v>
      </c>
      <c r="J12" s="33">
        <v>12055</v>
      </c>
      <c r="K12" s="33">
        <v>12058</v>
      </c>
      <c r="L12" s="33">
        <v>10374</v>
      </c>
      <c r="M12" s="33"/>
      <c r="N12" s="34">
        <f t="shared" si="0"/>
        <v>74012</v>
      </c>
      <c r="O12" s="26">
        <v>74012</v>
      </c>
    </row>
    <row r="13" spans="1:15" ht="18" customHeight="1">
      <c r="A13" s="387" t="s">
        <v>468</v>
      </c>
      <c r="B13" s="33">
        <v>1085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0"/>
        <v>1085</v>
      </c>
      <c r="O13" s="26">
        <v>1085</v>
      </c>
    </row>
    <row r="14" spans="1:15" ht="18" customHeight="1">
      <c r="A14" s="387" t="s">
        <v>558</v>
      </c>
      <c r="B14" s="33"/>
      <c r="C14" s="33">
        <v>108</v>
      </c>
      <c r="D14" s="33"/>
      <c r="E14" s="33">
        <v>6</v>
      </c>
      <c r="F14" s="33"/>
      <c r="G14" s="33"/>
      <c r="H14" s="33"/>
      <c r="I14" s="33"/>
      <c r="J14" s="33"/>
      <c r="K14" s="33"/>
      <c r="L14" s="33"/>
      <c r="M14" s="33"/>
      <c r="N14" s="34">
        <f t="shared" si="0"/>
        <v>114</v>
      </c>
      <c r="O14" s="26">
        <v>114</v>
      </c>
    </row>
    <row r="15" spans="1:15" ht="18" customHeight="1">
      <c r="A15" s="38" t="s">
        <v>207</v>
      </c>
      <c r="B15" s="33"/>
      <c r="C15" s="33"/>
      <c r="D15" s="33"/>
      <c r="E15" s="33"/>
      <c r="F15" s="33"/>
      <c r="G15" s="33"/>
      <c r="H15" s="33">
        <v>1886</v>
      </c>
      <c r="I15" s="33">
        <v>229</v>
      </c>
      <c r="J15" s="33">
        <v>229</v>
      </c>
      <c r="K15" s="33">
        <v>3229</v>
      </c>
      <c r="L15" s="33">
        <v>0</v>
      </c>
      <c r="M15" s="33">
        <v>0</v>
      </c>
      <c r="N15" s="34">
        <f t="shared" si="0"/>
        <v>5573</v>
      </c>
      <c r="O15" s="26">
        <v>5573</v>
      </c>
    </row>
    <row r="16" spans="1:15" s="241" customFormat="1" ht="18" customHeight="1">
      <c r="A16" s="39" t="s">
        <v>19</v>
      </c>
      <c r="B16" s="37">
        <f>B7+B8+B9+B10+B11+B12+B15+B13</f>
        <v>5723</v>
      </c>
      <c r="C16" s="37">
        <f aca="true" t="shared" si="1" ref="C16:M16">C7+C8+C9+C10+C11+C12+C15+C13</f>
        <v>4677</v>
      </c>
      <c r="D16" s="37">
        <f t="shared" si="1"/>
        <v>4638</v>
      </c>
      <c r="E16" s="37">
        <f t="shared" si="1"/>
        <v>33572</v>
      </c>
      <c r="F16" s="37">
        <f t="shared" si="1"/>
        <v>5266</v>
      </c>
      <c r="G16" s="37">
        <f t="shared" si="1"/>
        <v>5266</v>
      </c>
      <c r="H16" s="37">
        <f t="shared" si="1"/>
        <v>7152</v>
      </c>
      <c r="I16" s="37">
        <f t="shared" si="1"/>
        <v>6955</v>
      </c>
      <c r="J16" s="37">
        <f t="shared" si="1"/>
        <v>17693</v>
      </c>
      <c r="K16" s="37">
        <f t="shared" si="1"/>
        <v>20694</v>
      </c>
      <c r="L16" s="37">
        <f t="shared" si="1"/>
        <v>15780</v>
      </c>
      <c r="M16" s="37">
        <f t="shared" si="1"/>
        <v>5647</v>
      </c>
      <c r="N16" s="34">
        <f>SUM(N7:N15)</f>
        <v>133177</v>
      </c>
      <c r="O16" s="241">
        <f>SUM(O7:O15)</f>
        <v>133177</v>
      </c>
    </row>
    <row r="17" spans="1:14" ht="18" customHeight="1">
      <c r="A17" s="3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5" ht="18" customHeight="1">
      <c r="A18" s="38" t="s">
        <v>20</v>
      </c>
      <c r="B18" s="33">
        <v>284</v>
      </c>
      <c r="C18" s="33">
        <v>284</v>
      </c>
      <c r="D18" s="33">
        <v>284</v>
      </c>
      <c r="E18" s="33">
        <v>284</v>
      </c>
      <c r="F18" s="33">
        <v>284</v>
      </c>
      <c r="G18" s="33">
        <v>921</v>
      </c>
      <c r="H18" s="33">
        <v>295</v>
      </c>
      <c r="I18" s="33">
        <v>284</v>
      </c>
      <c r="J18" s="33">
        <v>284</v>
      </c>
      <c r="K18" s="33">
        <v>147</v>
      </c>
      <c r="L18" s="33">
        <v>147</v>
      </c>
      <c r="M18" s="33">
        <v>146</v>
      </c>
      <c r="N18" s="34">
        <f aca="true" t="shared" si="2" ref="N18:N24">SUM(B18:M18)</f>
        <v>3644</v>
      </c>
      <c r="O18" s="26">
        <v>3644</v>
      </c>
    </row>
    <row r="19" spans="1:15" ht="18" customHeight="1">
      <c r="A19" s="38" t="s">
        <v>182</v>
      </c>
      <c r="B19" s="33">
        <v>967</v>
      </c>
      <c r="C19" s="33">
        <v>967</v>
      </c>
      <c r="D19" s="33">
        <v>967</v>
      </c>
      <c r="E19" s="33">
        <v>167</v>
      </c>
      <c r="F19" s="33">
        <v>755</v>
      </c>
      <c r="G19" s="33">
        <v>755</v>
      </c>
      <c r="H19" s="33">
        <v>755</v>
      </c>
      <c r="I19" s="33">
        <v>755</v>
      </c>
      <c r="J19" s="33">
        <v>5786</v>
      </c>
      <c r="K19" s="33"/>
      <c r="L19" s="33"/>
      <c r="M19" s="33"/>
      <c r="N19" s="34">
        <f t="shared" si="2"/>
        <v>11874</v>
      </c>
      <c r="O19" s="174">
        <v>11874</v>
      </c>
    </row>
    <row r="20" spans="1:15" ht="18" customHeight="1">
      <c r="A20" s="92" t="s">
        <v>128</v>
      </c>
      <c r="B20" s="33">
        <v>2117</v>
      </c>
      <c r="C20" s="33">
        <v>2117</v>
      </c>
      <c r="D20" s="33">
        <v>2117</v>
      </c>
      <c r="E20" s="33">
        <v>2117</v>
      </c>
      <c r="F20" s="33">
        <v>2117</v>
      </c>
      <c r="G20" s="33">
        <v>2117</v>
      </c>
      <c r="H20" s="33">
        <v>2117</v>
      </c>
      <c r="I20" s="33">
        <v>2117</v>
      </c>
      <c r="J20" s="33">
        <v>2362</v>
      </c>
      <c r="K20" s="33">
        <v>2362</v>
      </c>
      <c r="L20" s="33">
        <v>2362</v>
      </c>
      <c r="M20" s="33">
        <v>2362</v>
      </c>
      <c r="N20" s="34">
        <f t="shared" si="2"/>
        <v>26384</v>
      </c>
      <c r="O20" s="88">
        <v>26384</v>
      </c>
    </row>
    <row r="21" spans="1:16" ht="18" customHeight="1">
      <c r="A21" s="38" t="s">
        <v>28</v>
      </c>
      <c r="B21" s="33"/>
      <c r="C21" s="33">
        <v>96</v>
      </c>
      <c r="D21" s="33"/>
      <c r="E21" s="33"/>
      <c r="F21" s="33"/>
      <c r="G21" s="33">
        <v>264</v>
      </c>
      <c r="H21" s="33">
        <v>205</v>
      </c>
      <c r="I21" s="33">
        <v>205</v>
      </c>
      <c r="J21" s="33">
        <v>205</v>
      </c>
      <c r="K21" s="33">
        <v>205</v>
      </c>
      <c r="L21" s="33">
        <v>206</v>
      </c>
      <c r="M21" s="33">
        <v>206</v>
      </c>
      <c r="N21" s="34">
        <f t="shared" si="2"/>
        <v>1592</v>
      </c>
      <c r="O21" s="88">
        <v>1592</v>
      </c>
      <c r="P21" s="88"/>
    </row>
    <row r="22" spans="1:15" ht="18" customHeight="1">
      <c r="A22" s="38" t="s">
        <v>175</v>
      </c>
      <c r="B22" s="33">
        <v>777</v>
      </c>
      <c r="C22" s="33">
        <v>6990</v>
      </c>
      <c r="D22" s="33">
        <v>2454</v>
      </c>
      <c r="E22" s="33">
        <v>1917</v>
      </c>
      <c r="F22" s="33">
        <v>1917</v>
      </c>
      <c r="G22" s="33">
        <v>51</v>
      </c>
      <c r="H22" s="33">
        <v>30730</v>
      </c>
      <c r="I22" s="33">
        <v>842</v>
      </c>
      <c r="J22" s="33">
        <v>842</v>
      </c>
      <c r="K22" s="33">
        <v>842</v>
      </c>
      <c r="L22" s="33">
        <v>838</v>
      </c>
      <c r="M22" s="33">
        <v>776</v>
      </c>
      <c r="N22" s="34">
        <f t="shared" si="2"/>
        <v>48976</v>
      </c>
      <c r="O22" s="26">
        <v>48976</v>
      </c>
    </row>
    <row r="23" spans="1:15" ht="18" customHeight="1">
      <c r="A23" s="38" t="s">
        <v>136</v>
      </c>
      <c r="B23" s="33">
        <v>3386</v>
      </c>
      <c r="C23" s="33">
        <v>3386</v>
      </c>
      <c r="D23" s="33">
        <v>3386</v>
      </c>
      <c r="E23" s="33">
        <v>3390</v>
      </c>
      <c r="F23" s="33">
        <v>3388</v>
      </c>
      <c r="G23" s="33">
        <v>3386</v>
      </c>
      <c r="H23" s="33">
        <v>3386</v>
      </c>
      <c r="I23" s="33">
        <v>3386</v>
      </c>
      <c r="J23" s="33">
        <v>3386</v>
      </c>
      <c r="K23" s="33">
        <v>3386</v>
      </c>
      <c r="L23" s="33">
        <v>3386</v>
      </c>
      <c r="M23" s="33">
        <v>3386</v>
      </c>
      <c r="N23" s="34">
        <f t="shared" si="2"/>
        <v>40638</v>
      </c>
      <c r="O23" s="26">
        <v>40638</v>
      </c>
    </row>
    <row r="24" spans="1:15" ht="18" customHeight="1">
      <c r="A24" s="387" t="s">
        <v>535</v>
      </c>
      <c r="B24" s="33"/>
      <c r="C24" s="33">
        <v>35</v>
      </c>
      <c r="D24" s="33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4">
        <f t="shared" si="2"/>
        <v>69</v>
      </c>
      <c r="O24" s="26">
        <v>69</v>
      </c>
    </row>
    <row r="25" spans="1:15" ht="18" customHeight="1">
      <c r="A25" s="29" t="s">
        <v>22</v>
      </c>
      <c r="B25" s="37">
        <f>+B18+B19+B20+B21+B22+B23</f>
        <v>7531</v>
      </c>
      <c r="C25" s="37">
        <f>+C18+C19+C20+C21+C22+C23</f>
        <v>13840</v>
      </c>
      <c r="D25" s="37">
        <f aca="true" t="shared" si="3" ref="D25:L25">+D18+D19+D20+D21+D22+D23</f>
        <v>9208</v>
      </c>
      <c r="E25" s="37">
        <f t="shared" si="3"/>
        <v>7875</v>
      </c>
      <c r="F25" s="37">
        <f t="shared" si="3"/>
        <v>8461</v>
      </c>
      <c r="G25" s="37">
        <f t="shared" si="3"/>
        <v>7494</v>
      </c>
      <c r="H25" s="37">
        <f t="shared" si="3"/>
        <v>37488</v>
      </c>
      <c r="I25" s="37">
        <f t="shared" si="3"/>
        <v>7589</v>
      </c>
      <c r="J25" s="37">
        <f t="shared" si="3"/>
        <v>12865</v>
      </c>
      <c r="K25" s="37">
        <f t="shared" si="3"/>
        <v>6942</v>
      </c>
      <c r="L25" s="37">
        <f t="shared" si="3"/>
        <v>6939</v>
      </c>
      <c r="M25" s="37">
        <f>SUM(M18:M22)+M23</f>
        <v>6876</v>
      </c>
      <c r="N25" s="34">
        <f>SUM(B24:M25)</f>
        <v>133177</v>
      </c>
      <c r="O25" s="88">
        <f>SUM(O18:O24)</f>
        <v>133177</v>
      </c>
    </row>
    <row r="26" spans="1:15" ht="18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88"/>
    </row>
    <row r="27" spans="1:15" ht="18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88"/>
    </row>
    <row r="28" spans="1:15" ht="18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88"/>
    </row>
    <row r="29" spans="1:15" ht="18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88"/>
    </row>
    <row r="30" spans="1:15" ht="18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88"/>
    </row>
    <row r="31" spans="1:15" ht="18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88"/>
    </row>
    <row r="32" spans="1:15" ht="18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88"/>
    </row>
    <row r="33" spans="1:15" ht="18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88"/>
    </row>
    <row r="34" spans="1:15" ht="18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88"/>
    </row>
    <row r="35" spans="2:14" ht="15.7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41" ht="15.75">
      <c r="A41" s="89"/>
    </row>
    <row r="42" ht="15.75">
      <c r="A42" s="89"/>
    </row>
    <row r="43" ht="15.75">
      <c r="A43" s="89"/>
    </row>
    <row r="44" ht="15.75">
      <c r="A44" s="89"/>
    </row>
    <row r="45" ht="15.75">
      <c r="A45" s="89"/>
    </row>
    <row r="46" ht="15.75">
      <c r="A46" s="89"/>
    </row>
    <row r="47" ht="15.75">
      <c r="A47" s="89"/>
    </row>
    <row r="48" ht="15.75">
      <c r="A48" s="89"/>
    </row>
    <row r="49" ht="15.75">
      <c r="A49" s="89"/>
    </row>
    <row r="50" ht="15.75">
      <c r="A50" s="89"/>
    </row>
    <row r="51" ht="15.75">
      <c r="A51" s="89"/>
    </row>
    <row r="52" spans="1:17" ht="15.75">
      <c r="A52" s="89"/>
      <c r="Q52" s="26">
        <f>+O52+O42</f>
        <v>0</v>
      </c>
    </row>
    <row r="53" ht="15.75">
      <c r="A53" s="89"/>
    </row>
    <row r="54" ht="15.75">
      <c r="A54" s="89"/>
    </row>
    <row r="55" ht="15.75">
      <c r="A55" s="89"/>
    </row>
    <row r="56" ht="15.75">
      <c r="A56" s="89"/>
    </row>
    <row r="57" ht="15.75">
      <c r="A57" s="89"/>
    </row>
    <row r="58" ht="15.75">
      <c r="A58" s="89"/>
    </row>
    <row r="59" ht="15.75">
      <c r="A59" s="89"/>
    </row>
    <row r="60" ht="15.75">
      <c r="A60" s="89"/>
    </row>
    <row r="61" ht="15.75">
      <c r="A61" s="89"/>
    </row>
    <row r="65" ht="15.75">
      <c r="L65" s="90"/>
    </row>
  </sheetData>
  <sheetProtection/>
  <mergeCells count="4">
    <mergeCell ref="A1:N1"/>
    <mergeCell ref="M5:N5"/>
    <mergeCell ref="A3:N4"/>
    <mergeCell ref="A2:N2"/>
  </mergeCells>
  <printOptions horizontalCentered="1"/>
  <pageMargins left="0.1968503937007874" right="0.15748031496062992" top="0.7086614173228347" bottom="0.6692913385826772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6"/>
  <sheetViews>
    <sheetView zoomScalePageLayoutView="0" workbookViewId="0" topLeftCell="A70">
      <selection activeCell="G25" sqref="G25"/>
    </sheetView>
  </sheetViews>
  <sheetFormatPr defaultColWidth="9.00390625" defaultRowHeight="12.75"/>
  <cols>
    <col min="3" max="3" width="60.75390625" style="0" bestFit="1" customWidth="1"/>
    <col min="4" max="4" width="17.75390625" style="0" bestFit="1" customWidth="1"/>
    <col min="5" max="5" width="14.00390625" style="0" bestFit="1" customWidth="1"/>
    <col min="6" max="6" width="17.00390625" style="0" bestFit="1" customWidth="1"/>
    <col min="7" max="7" width="19.625" style="0" customWidth="1"/>
    <col min="8" max="9" width="17.75390625" style="0" bestFit="1" customWidth="1"/>
  </cols>
  <sheetData>
    <row r="1" spans="1:6" ht="18.75">
      <c r="A1" s="499" t="s">
        <v>501</v>
      </c>
      <c r="B1" s="500"/>
      <c r="C1" s="500"/>
      <c r="D1" s="500"/>
      <c r="E1" s="500"/>
      <c r="F1" s="500"/>
    </row>
    <row r="2" spans="1:6" ht="15.75">
      <c r="A2" s="474" t="s">
        <v>602</v>
      </c>
      <c r="B2" s="474"/>
      <c r="C2" s="474"/>
      <c r="D2" s="474"/>
      <c r="E2" s="474"/>
      <c r="F2" s="474"/>
    </row>
    <row r="3" spans="1:6" ht="15.75">
      <c r="A3" s="501" t="s">
        <v>220</v>
      </c>
      <c r="B3" s="501"/>
      <c r="C3" s="501"/>
      <c r="D3" s="501"/>
      <c r="E3" s="501"/>
      <c r="F3" s="501"/>
    </row>
    <row r="4" spans="1:6" ht="15.75">
      <c r="A4" s="474" t="s">
        <v>240</v>
      </c>
      <c r="B4" s="474"/>
      <c r="C4" s="474"/>
      <c r="D4" s="474"/>
      <c r="E4" s="474"/>
      <c r="F4" s="474"/>
    </row>
    <row r="5" spans="1:6" ht="16.5" thickBot="1">
      <c r="A5" s="502" t="s">
        <v>291</v>
      </c>
      <c r="B5" s="502"/>
      <c r="C5" s="502"/>
      <c r="D5" s="502"/>
      <c r="E5" s="502"/>
      <c r="F5" s="502"/>
    </row>
    <row r="6" spans="1:9" ht="12.75">
      <c r="A6" s="503" t="s">
        <v>184</v>
      </c>
      <c r="B6" s="495" t="s">
        <v>171</v>
      </c>
      <c r="C6" s="495"/>
      <c r="D6" s="478">
        <v>2020</v>
      </c>
      <c r="E6" s="681">
        <v>2021</v>
      </c>
      <c r="F6" s="683">
        <v>2022</v>
      </c>
      <c r="G6" s="478">
        <v>2020</v>
      </c>
      <c r="H6" s="681">
        <v>2021</v>
      </c>
      <c r="I6" s="683">
        <v>2022</v>
      </c>
    </row>
    <row r="7" spans="1:9" ht="12.75">
      <c r="A7" s="504"/>
      <c r="B7" s="506"/>
      <c r="C7" s="506"/>
      <c r="D7" s="479"/>
      <c r="E7" s="682"/>
      <c r="F7" s="684"/>
      <c r="G7" s="479"/>
      <c r="H7" s="682"/>
      <c r="I7" s="684"/>
    </row>
    <row r="8" spans="1:9" ht="12.75" customHeight="1">
      <c r="A8" s="504"/>
      <c r="B8" s="506"/>
      <c r="C8" s="506"/>
      <c r="D8" s="479" t="s">
        <v>352</v>
      </c>
      <c r="E8" s="479"/>
      <c r="F8" s="685"/>
      <c r="G8" s="479" t="s">
        <v>603</v>
      </c>
      <c r="H8" s="479"/>
      <c r="I8" s="685"/>
    </row>
    <row r="9" spans="1:9" ht="15.75">
      <c r="A9" s="211"/>
      <c r="B9" s="506" t="s">
        <v>185</v>
      </c>
      <c r="C9" s="506"/>
      <c r="D9" s="175"/>
      <c r="E9" s="175"/>
      <c r="F9" s="123"/>
      <c r="G9" s="175"/>
      <c r="H9" s="175"/>
      <c r="I9" s="123"/>
    </row>
    <row r="10" spans="1:9" ht="15.75">
      <c r="A10" s="9">
        <v>1</v>
      </c>
      <c r="B10" s="490" t="s">
        <v>172</v>
      </c>
      <c r="C10" s="490"/>
      <c r="D10" s="14">
        <v>11829268</v>
      </c>
      <c r="E10" s="13">
        <f>D10*102%</f>
        <v>12065853.36</v>
      </c>
      <c r="F10" s="217">
        <f>D10*104%</f>
        <v>12302438.72</v>
      </c>
      <c r="G10" s="14">
        <v>13094268</v>
      </c>
      <c r="H10" s="13">
        <f aca="true" t="shared" si="0" ref="H10:H16">G10*102%</f>
        <v>13356153.36</v>
      </c>
      <c r="I10" s="217">
        <f>G10*104%</f>
        <v>13618038.72</v>
      </c>
    </row>
    <row r="11" spans="1:9" ht="15.75">
      <c r="A11" s="9">
        <v>2</v>
      </c>
      <c r="B11" s="490" t="s">
        <v>180</v>
      </c>
      <c r="C11" s="490"/>
      <c r="D11" s="14">
        <v>2111214</v>
      </c>
      <c r="E11" s="13">
        <f aca="true" t="shared" si="1" ref="E11:E75">D11*102%</f>
        <v>2153438.2800000003</v>
      </c>
      <c r="F11" s="217">
        <f aca="true" t="shared" si="2" ref="F11:F75">D11*104%</f>
        <v>2195662.56</v>
      </c>
      <c r="G11" s="14">
        <v>2320489</v>
      </c>
      <c r="H11" s="13">
        <f t="shared" si="0"/>
        <v>2366898.7800000003</v>
      </c>
      <c r="I11" s="217">
        <f aca="true" t="shared" si="3" ref="I11:I75">G11*104%</f>
        <v>2413308.56</v>
      </c>
    </row>
    <row r="12" spans="1:9" ht="15.75">
      <c r="A12" s="9">
        <v>3</v>
      </c>
      <c r="B12" s="490" t="s">
        <v>181</v>
      </c>
      <c r="C12" s="490"/>
      <c r="D12" s="14">
        <v>19642520</v>
      </c>
      <c r="E12" s="13">
        <f t="shared" si="1"/>
        <v>20035370.4</v>
      </c>
      <c r="F12" s="217">
        <f t="shared" si="2"/>
        <v>20428220.8</v>
      </c>
      <c r="G12" s="14">
        <v>30561957</v>
      </c>
      <c r="H12" s="13">
        <f t="shared" si="0"/>
        <v>31173196.14</v>
      </c>
      <c r="I12" s="217">
        <f t="shared" si="3"/>
        <v>31784435.28</v>
      </c>
    </row>
    <row r="13" spans="1:9" ht="15.75">
      <c r="A13" s="9" t="s">
        <v>39</v>
      </c>
      <c r="B13" s="490" t="s">
        <v>164</v>
      </c>
      <c r="C13" s="490"/>
      <c r="D13" s="13"/>
      <c r="E13" s="13">
        <f t="shared" si="1"/>
        <v>0</v>
      </c>
      <c r="F13" s="217">
        <f t="shared" si="2"/>
        <v>0</v>
      </c>
      <c r="G13" s="13"/>
      <c r="H13" s="13">
        <f t="shared" si="0"/>
        <v>0</v>
      </c>
      <c r="I13" s="217">
        <f t="shared" si="3"/>
        <v>0</v>
      </c>
    </row>
    <row r="14" spans="1:9" ht="15.75">
      <c r="A14" s="9" t="s">
        <v>40</v>
      </c>
      <c r="B14" s="496" t="s">
        <v>158</v>
      </c>
      <c r="C14" s="496"/>
      <c r="D14" s="13">
        <f>D15+D16+D18+D19</f>
        <v>6264508</v>
      </c>
      <c r="E14" s="13">
        <f t="shared" si="1"/>
        <v>6389798.16</v>
      </c>
      <c r="F14" s="217">
        <f t="shared" si="2"/>
        <v>6515088.32</v>
      </c>
      <c r="G14" s="13">
        <f>G15+G16+G18+G19</f>
        <v>6530475</v>
      </c>
      <c r="H14" s="13">
        <f t="shared" si="0"/>
        <v>6661084.5</v>
      </c>
      <c r="I14" s="217">
        <f t="shared" si="3"/>
        <v>6791694</v>
      </c>
    </row>
    <row r="15" spans="1:9" ht="15.75">
      <c r="A15" s="9" t="s">
        <v>150</v>
      </c>
      <c r="B15" s="497" t="s">
        <v>153</v>
      </c>
      <c r="C15" s="497"/>
      <c r="D15" s="13"/>
      <c r="E15" s="13">
        <f t="shared" si="1"/>
        <v>0</v>
      </c>
      <c r="F15" s="217">
        <f t="shared" si="2"/>
        <v>0</v>
      </c>
      <c r="G15" s="13"/>
      <c r="H15" s="13">
        <f t="shared" si="0"/>
        <v>0</v>
      </c>
      <c r="I15" s="217">
        <f t="shared" si="3"/>
        <v>0</v>
      </c>
    </row>
    <row r="16" spans="1:9" ht="15.75">
      <c r="A16" s="9" t="s">
        <v>151</v>
      </c>
      <c r="B16" s="497" t="s">
        <v>214</v>
      </c>
      <c r="C16" s="497"/>
      <c r="D16" s="13">
        <v>2668508</v>
      </c>
      <c r="E16" s="13">
        <f>D16*102%</f>
        <v>2721878.16</v>
      </c>
      <c r="F16" s="217">
        <f t="shared" si="2"/>
        <v>2775248.3200000003</v>
      </c>
      <c r="G16" s="13">
        <v>2577545</v>
      </c>
      <c r="H16" s="13">
        <f t="shared" si="0"/>
        <v>2629095.9</v>
      </c>
      <c r="I16" s="217">
        <f t="shared" si="3"/>
        <v>2680646.8000000003</v>
      </c>
    </row>
    <row r="17" spans="1:9" ht="15.75">
      <c r="A17" s="9"/>
      <c r="B17" s="498"/>
      <c r="C17" s="498"/>
      <c r="D17" s="13"/>
      <c r="E17" s="13">
        <f t="shared" si="1"/>
        <v>0</v>
      </c>
      <c r="F17" s="217">
        <f t="shared" si="2"/>
        <v>0</v>
      </c>
      <c r="G17" s="13"/>
      <c r="H17" s="13">
        <f aca="true" t="shared" si="4" ref="H17:H81">G17*102%</f>
        <v>0</v>
      </c>
      <c r="I17" s="217">
        <f t="shared" si="3"/>
        <v>0</v>
      </c>
    </row>
    <row r="18" spans="1:9" ht="15.75">
      <c r="A18" s="9" t="s">
        <v>152</v>
      </c>
      <c r="B18" s="493" t="s">
        <v>154</v>
      </c>
      <c r="C18" s="493"/>
      <c r="D18" s="13">
        <v>3596000</v>
      </c>
      <c r="E18" s="13">
        <f t="shared" si="1"/>
        <v>3667920</v>
      </c>
      <c r="F18" s="217">
        <f t="shared" si="2"/>
        <v>3739840</v>
      </c>
      <c r="G18" s="13">
        <v>3839000</v>
      </c>
      <c r="H18" s="13">
        <f t="shared" si="4"/>
        <v>3915780</v>
      </c>
      <c r="I18" s="217">
        <f t="shared" si="3"/>
        <v>3992560</v>
      </c>
    </row>
    <row r="19" spans="1:9" ht="15.75">
      <c r="A19" s="9" t="s">
        <v>61</v>
      </c>
      <c r="B19" s="493" t="s">
        <v>241</v>
      </c>
      <c r="C19" s="494"/>
      <c r="D19" s="13"/>
      <c r="E19" s="13">
        <f t="shared" si="1"/>
        <v>0</v>
      </c>
      <c r="F19" s="217">
        <f t="shared" si="2"/>
        <v>0</v>
      </c>
      <c r="G19" s="13">
        <v>113930</v>
      </c>
      <c r="H19" s="13">
        <f t="shared" si="4"/>
        <v>116208.6</v>
      </c>
      <c r="I19" s="217">
        <f t="shared" si="3"/>
        <v>118487.2</v>
      </c>
    </row>
    <row r="20" spans="1:9" ht="15.75">
      <c r="A20" s="9"/>
      <c r="B20" s="490" t="s">
        <v>353</v>
      </c>
      <c r="C20" s="490"/>
      <c r="D20" s="178">
        <v>25421024</v>
      </c>
      <c r="E20" s="13">
        <f t="shared" si="1"/>
        <v>25929444.48</v>
      </c>
      <c r="F20" s="217">
        <f t="shared" si="2"/>
        <v>26437864.96</v>
      </c>
      <c r="G20" s="178">
        <v>0</v>
      </c>
      <c r="H20" s="13">
        <f t="shared" si="4"/>
        <v>0</v>
      </c>
      <c r="I20" s="217">
        <f t="shared" si="3"/>
        <v>0</v>
      </c>
    </row>
    <row r="21" spans="1:9" ht="15.75">
      <c r="A21" s="9"/>
      <c r="B21" s="490" t="s">
        <v>354</v>
      </c>
      <c r="C21" s="490"/>
      <c r="D21" s="178">
        <v>8275799</v>
      </c>
      <c r="E21" s="13">
        <f t="shared" si="1"/>
        <v>8441314.98</v>
      </c>
      <c r="F21" s="217">
        <f t="shared" si="2"/>
        <v>8606830.96</v>
      </c>
      <c r="G21" s="178">
        <v>5573383</v>
      </c>
      <c r="H21" s="13">
        <f t="shared" si="4"/>
        <v>5684850.66</v>
      </c>
      <c r="I21" s="217">
        <f t="shared" si="3"/>
        <v>5796318.32</v>
      </c>
    </row>
    <row r="22" spans="1:9" ht="15.75">
      <c r="A22" s="9" t="s">
        <v>177</v>
      </c>
      <c r="B22" s="210" t="s">
        <v>149</v>
      </c>
      <c r="C22" s="85"/>
      <c r="D22" s="13">
        <f>+D10+D11+D12+D13+D14+D21+D20</f>
        <v>73544333</v>
      </c>
      <c r="E22" s="13">
        <f t="shared" si="1"/>
        <v>75015219.66</v>
      </c>
      <c r="F22" s="217">
        <f t="shared" si="2"/>
        <v>76486106.32000001</v>
      </c>
      <c r="G22" s="13">
        <f>+G10+G11+G12+G13+G14+G21+G20</f>
        <v>58080572</v>
      </c>
      <c r="H22" s="13">
        <f t="shared" si="4"/>
        <v>59242183.44</v>
      </c>
      <c r="I22" s="217">
        <f t="shared" si="3"/>
        <v>60403794.88</v>
      </c>
    </row>
    <row r="23" spans="1:9" ht="15.75">
      <c r="A23" s="9" t="s">
        <v>41</v>
      </c>
      <c r="B23" s="490" t="s">
        <v>174</v>
      </c>
      <c r="C23" s="490"/>
      <c r="D23" s="202">
        <v>11819819</v>
      </c>
      <c r="E23" s="13">
        <f t="shared" si="1"/>
        <v>12056215.38</v>
      </c>
      <c r="F23" s="217">
        <f t="shared" si="2"/>
        <v>12292611.76</v>
      </c>
      <c r="G23" s="202">
        <v>9279274</v>
      </c>
      <c r="H23" s="13">
        <f t="shared" si="4"/>
        <v>9464859.48</v>
      </c>
      <c r="I23" s="217">
        <f t="shared" si="3"/>
        <v>9650444.96</v>
      </c>
    </row>
    <row r="24" spans="1:9" ht="15.75">
      <c r="A24" s="9" t="s">
        <v>42</v>
      </c>
      <c r="B24" s="490" t="s">
        <v>173</v>
      </c>
      <c r="C24" s="490"/>
      <c r="D24" s="202">
        <v>4000000</v>
      </c>
      <c r="E24" s="13">
        <f t="shared" si="1"/>
        <v>4080000</v>
      </c>
      <c r="F24" s="217">
        <f t="shared" si="2"/>
        <v>4160000</v>
      </c>
      <c r="G24" s="202">
        <v>64732560</v>
      </c>
      <c r="H24" s="13">
        <f t="shared" si="4"/>
        <v>66027211.2</v>
      </c>
      <c r="I24" s="217">
        <f t="shared" si="3"/>
        <v>67321862.4</v>
      </c>
    </row>
    <row r="25" spans="1:9" ht="15.75">
      <c r="A25" s="9" t="s">
        <v>43</v>
      </c>
      <c r="B25" s="490" t="s">
        <v>242</v>
      </c>
      <c r="C25" s="490"/>
      <c r="D25" s="202"/>
      <c r="E25" s="13">
        <f t="shared" si="1"/>
        <v>0</v>
      </c>
      <c r="F25" s="217">
        <f t="shared" si="2"/>
        <v>0</v>
      </c>
      <c r="G25" s="202"/>
      <c r="H25" s="13">
        <f t="shared" si="4"/>
        <v>0</v>
      </c>
      <c r="I25" s="217">
        <f t="shared" si="3"/>
        <v>0</v>
      </c>
    </row>
    <row r="26" spans="1:9" ht="15.75">
      <c r="A26" s="9" t="s">
        <v>178</v>
      </c>
      <c r="B26" s="490" t="s">
        <v>212</v>
      </c>
      <c r="C26" s="490"/>
      <c r="D26" s="202">
        <f>SUM(D23:D25)</f>
        <v>15819819</v>
      </c>
      <c r="E26" s="13">
        <f t="shared" si="1"/>
        <v>16136215.38</v>
      </c>
      <c r="F26" s="217">
        <f t="shared" si="2"/>
        <v>16452611.76</v>
      </c>
      <c r="G26" s="202">
        <f>SUM(G23:G25)</f>
        <v>74011834</v>
      </c>
      <c r="H26" s="13">
        <f t="shared" si="4"/>
        <v>75492070.68</v>
      </c>
      <c r="I26" s="217">
        <f t="shared" si="3"/>
        <v>76972307.36</v>
      </c>
    </row>
    <row r="27" spans="1:9" ht="15.75">
      <c r="A27" s="9" t="s">
        <v>179</v>
      </c>
      <c r="B27" s="490"/>
      <c r="C27" s="490"/>
      <c r="D27" s="202"/>
      <c r="E27" s="13">
        <f t="shared" si="1"/>
        <v>0</v>
      </c>
      <c r="F27" s="217">
        <f t="shared" si="2"/>
        <v>0</v>
      </c>
      <c r="G27" s="202"/>
      <c r="H27" s="13">
        <f t="shared" si="4"/>
        <v>0</v>
      </c>
      <c r="I27" s="217">
        <f t="shared" si="3"/>
        <v>0</v>
      </c>
    </row>
    <row r="28" spans="1:9" ht="15.75">
      <c r="A28" s="9" t="s">
        <v>165</v>
      </c>
      <c r="B28" s="491" t="s">
        <v>468</v>
      </c>
      <c r="C28" s="491"/>
      <c r="D28" s="203">
        <v>1016281</v>
      </c>
      <c r="E28" s="13">
        <f t="shared" si="1"/>
        <v>1036606.62</v>
      </c>
      <c r="F28" s="217">
        <f t="shared" si="2"/>
        <v>1056932.24</v>
      </c>
      <c r="G28" s="203">
        <v>1085176</v>
      </c>
      <c r="H28" s="13">
        <f t="shared" si="4"/>
        <v>1106879.52</v>
      </c>
      <c r="I28" s="217">
        <f t="shared" si="3"/>
        <v>1128583.04</v>
      </c>
    </row>
    <row r="29" spans="1:9" ht="15.75">
      <c r="A29" s="9" t="s">
        <v>166</v>
      </c>
      <c r="B29" s="491"/>
      <c r="C29" s="491"/>
      <c r="D29" s="204"/>
      <c r="E29" s="13">
        <f t="shared" si="1"/>
        <v>0</v>
      </c>
      <c r="F29" s="217">
        <f t="shared" si="2"/>
        <v>0</v>
      </c>
      <c r="G29" s="204"/>
      <c r="H29" s="13">
        <f t="shared" si="4"/>
        <v>0</v>
      </c>
      <c r="I29" s="217">
        <f t="shared" si="3"/>
        <v>0</v>
      </c>
    </row>
    <row r="30" spans="1:9" ht="19.5">
      <c r="A30" s="86" t="s">
        <v>156</v>
      </c>
      <c r="B30" s="486" t="s">
        <v>157</v>
      </c>
      <c r="C30" s="486"/>
      <c r="D30" s="205">
        <f>+D22+D26+D27+D28+D29</f>
        <v>90380433</v>
      </c>
      <c r="E30" s="242">
        <f t="shared" si="1"/>
        <v>92188041.66</v>
      </c>
      <c r="F30" s="243">
        <f t="shared" si="2"/>
        <v>93995650.32000001</v>
      </c>
      <c r="G30" s="205">
        <f>+G22+G26+G27+G28+G29</f>
        <v>133177582</v>
      </c>
      <c r="H30" s="242">
        <f t="shared" si="4"/>
        <v>135841133.64000002</v>
      </c>
      <c r="I30" s="243">
        <f t="shared" si="3"/>
        <v>138504685.28</v>
      </c>
    </row>
    <row r="31" spans="1:9" ht="15.75">
      <c r="A31" s="18"/>
      <c r="B31" s="492"/>
      <c r="C31" s="492"/>
      <c r="D31" s="19"/>
      <c r="E31" s="13">
        <f t="shared" si="1"/>
        <v>0</v>
      </c>
      <c r="F31" s="217">
        <f t="shared" si="2"/>
        <v>0</v>
      </c>
      <c r="G31" s="19"/>
      <c r="H31" s="13">
        <f t="shared" si="4"/>
        <v>0</v>
      </c>
      <c r="I31" s="217">
        <f t="shared" si="3"/>
        <v>0</v>
      </c>
    </row>
    <row r="32" spans="1:9" ht="15.75">
      <c r="A32" s="9"/>
      <c r="B32" s="489" t="s">
        <v>186</v>
      </c>
      <c r="C32" s="489"/>
      <c r="D32" s="202"/>
      <c r="E32" s="13">
        <f t="shared" si="1"/>
        <v>0</v>
      </c>
      <c r="F32" s="217">
        <f t="shared" si="2"/>
        <v>0</v>
      </c>
      <c r="G32" s="202"/>
      <c r="H32" s="13">
        <f t="shared" si="4"/>
        <v>0</v>
      </c>
      <c r="I32" s="217">
        <f t="shared" si="3"/>
        <v>0</v>
      </c>
    </row>
    <row r="33" spans="1:9" ht="15.75">
      <c r="A33" s="9" t="s">
        <v>29</v>
      </c>
      <c r="B33" s="487" t="s">
        <v>210</v>
      </c>
      <c r="C33" s="487"/>
      <c r="D33" s="218">
        <v>3414720</v>
      </c>
      <c r="E33" s="13">
        <f t="shared" si="1"/>
        <v>3483014.4</v>
      </c>
      <c r="F33" s="217">
        <f t="shared" si="2"/>
        <v>3551308.8000000003</v>
      </c>
      <c r="G33" s="218">
        <v>3644199</v>
      </c>
      <c r="H33" s="13">
        <f t="shared" si="4"/>
        <v>3717082.98</v>
      </c>
      <c r="I33" s="217">
        <f t="shared" si="3"/>
        <v>3789966.96</v>
      </c>
    </row>
    <row r="34" spans="1:9" ht="15.75">
      <c r="A34" s="9" t="s">
        <v>37</v>
      </c>
      <c r="B34" s="487" t="s">
        <v>182</v>
      </c>
      <c r="C34" s="487"/>
      <c r="D34" s="218">
        <f>SUM(D35:D37)</f>
        <v>11600000</v>
      </c>
      <c r="E34" s="13">
        <f t="shared" si="1"/>
        <v>11832000</v>
      </c>
      <c r="F34" s="217">
        <f t="shared" si="2"/>
        <v>12064000</v>
      </c>
      <c r="G34" s="218">
        <f>G35</f>
        <v>11874039</v>
      </c>
      <c r="H34" s="13">
        <f t="shared" si="4"/>
        <v>12111519.78</v>
      </c>
      <c r="I34" s="217">
        <f t="shared" si="3"/>
        <v>12349000.56</v>
      </c>
    </row>
    <row r="35" spans="1:9" ht="15.75">
      <c r="A35" s="9"/>
      <c r="B35" s="150" t="s">
        <v>63</v>
      </c>
      <c r="C35" s="80" t="s">
        <v>160</v>
      </c>
      <c r="D35" s="218">
        <v>10800000</v>
      </c>
      <c r="E35" s="13">
        <f t="shared" si="1"/>
        <v>11016000</v>
      </c>
      <c r="F35" s="217">
        <f t="shared" si="2"/>
        <v>11232000</v>
      </c>
      <c r="G35" s="218">
        <v>11874039</v>
      </c>
      <c r="H35" s="13">
        <f t="shared" si="4"/>
        <v>12111519.78</v>
      </c>
      <c r="I35" s="217">
        <f t="shared" si="3"/>
        <v>12349000.56</v>
      </c>
    </row>
    <row r="36" spans="1:9" ht="15.75">
      <c r="A36" s="9"/>
      <c r="B36" s="150" t="s">
        <v>64</v>
      </c>
      <c r="C36" s="80" t="s">
        <v>161</v>
      </c>
      <c r="D36" s="218">
        <v>800000</v>
      </c>
      <c r="E36" s="13">
        <f t="shared" si="1"/>
        <v>816000</v>
      </c>
      <c r="F36" s="217">
        <f t="shared" si="2"/>
        <v>832000</v>
      </c>
      <c r="G36" s="218">
        <v>0</v>
      </c>
      <c r="H36" s="13">
        <f t="shared" si="4"/>
        <v>0</v>
      </c>
      <c r="I36" s="217">
        <f t="shared" si="3"/>
        <v>0</v>
      </c>
    </row>
    <row r="37" spans="1:9" ht="15.75">
      <c r="A37" s="9"/>
      <c r="B37" s="150" t="s">
        <v>65</v>
      </c>
      <c r="C37" s="80" t="s">
        <v>162</v>
      </c>
      <c r="D37" s="218"/>
      <c r="E37" s="13">
        <f t="shared" si="1"/>
        <v>0</v>
      </c>
      <c r="F37" s="217">
        <f t="shared" si="2"/>
        <v>0</v>
      </c>
      <c r="G37" s="218"/>
      <c r="H37" s="13">
        <f t="shared" si="4"/>
        <v>0</v>
      </c>
      <c r="I37" s="217">
        <f t="shared" si="3"/>
        <v>0</v>
      </c>
    </row>
    <row r="38" spans="1:9" ht="15.75">
      <c r="A38" s="9" t="s">
        <v>38</v>
      </c>
      <c r="B38" s="487" t="s">
        <v>128</v>
      </c>
      <c r="C38" s="487"/>
      <c r="D38" s="219">
        <f>SUM(D39:D41)</f>
        <v>25407025</v>
      </c>
      <c r="E38" s="13">
        <f t="shared" si="1"/>
        <v>25915165.5</v>
      </c>
      <c r="F38" s="217">
        <f t="shared" si="2"/>
        <v>26423306</v>
      </c>
      <c r="G38" s="219">
        <f>SUM(G39:G41)</f>
        <v>26383425</v>
      </c>
      <c r="H38" s="13">
        <f t="shared" si="4"/>
        <v>26911093.5</v>
      </c>
      <c r="I38" s="217">
        <f t="shared" si="3"/>
        <v>27438762</v>
      </c>
    </row>
    <row r="39" spans="1:9" ht="15.75">
      <c r="A39" s="9"/>
      <c r="B39" s="151" t="s">
        <v>66</v>
      </c>
      <c r="C39" s="209" t="s">
        <v>213</v>
      </c>
      <c r="D39" s="178">
        <v>25407025</v>
      </c>
      <c r="E39" s="13">
        <f t="shared" si="1"/>
        <v>25915165.5</v>
      </c>
      <c r="F39" s="217">
        <f t="shared" si="2"/>
        <v>26423306</v>
      </c>
      <c r="G39" s="178">
        <v>26383425</v>
      </c>
      <c r="H39" s="13">
        <f t="shared" si="4"/>
        <v>26911093.5</v>
      </c>
      <c r="I39" s="217">
        <f t="shared" si="3"/>
        <v>27438762</v>
      </c>
    </row>
    <row r="40" spans="1:9" ht="15.75">
      <c r="A40" s="9"/>
      <c r="B40" s="151" t="s">
        <v>67</v>
      </c>
      <c r="C40" s="209" t="s">
        <v>69</v>
      </c>
      <c r="D40" s="178"/>
      <c r="E40" s="13">
        <f t="shared" si="1"/>
        <v>0</v>
      </c>
      <c r="F40" s="217">
        <f t="shared" si="2"/>
        <v>0</v>
      </c>
      <c r="G40" s="178"/>
      <c r="H40" s="13">
        <f t="shared" si="4"/>
        <v>0</v>
      </c>
      <c r="I40" s="217">
        <f t="shared" si="3"/>
        <v>0</v>
      </c>
    </row>
    <row r="41" spans="1:9" ht="15.75">
      <c r="A41" s="9"/>
      <c r="B41" s="151" t="s">
        <v>68</v>
      </c>
      <c r="C41" s="209" t="s">
        <v>237</v>
      </c>
      <c r="D41" s="178">
        <v>0</v>
      </c>
      <c r="E41" s="13">
        <f t="shared" si="1"/>
        <v>0</v>
      </c>
      <c r="F41" s="217">
        <f t="shared" si="2"/>
        <v>0</v>
      </c>
      <c r="G41" s="178">
        <v>0</v>
      </c>
      <c r="H41" s="13">
        <f t="shared" si="4"/>
        <v>0</v>
      </c>
      <c r="I41" s="217">
        <f t="shared" si="3"/>
        <v>0</v>
      </c>
    </row>
    <row r="42" spans="1:9" ht="15.75">
      <c r="A42" s="9" t="s">
        <v>39</v>
      </c>
      <c r="B42" s="487" t="s">
        <v>129</v>
      </c>
      <c r="C42" s="487"/>
      <c r="D42" s="178">
        <f>D43+D44+D45+D46</f>
        <v>0</v>
      </c>
      <c r="E42" s="13">
        <f t="shared" si="1"/>
        <v>0</v>
      </c>
      <c r="F42" s="217">
        <f t="shared" si="2"/>
        <v>0</v>
      </c>
      <c r="G42" s="178">
        <f>G43+G44+G45+G46</f>
        <v>1591965</v>
      </c>
      <c r="H42" s="13">
        <f t="shared" si="4"/>
        <v>1623804.3</v>
      </c>
      <c r="I42" s="217">
        <f t="shared" si="3"/>
        <v>1655643.6</v>
      </c>
    </row>
    <row r="43" spans="1:9" ht="15.75">
      <c r="A43" s="9"/>
      <c r="B43" s="151" t="s">
        <v>70</v>
      </c>
      <c r="C43" s="209" t="s">
        <v>74</v>
      </c>
      <c r="D43" s="178">
        <v>0</v>
      </c>
      <c r="E43" s="13">
        <f t="shared" si="1"/>
        <v>0</v>
      </c>
      <c r="F43" s="217">
        <f t="shared" si="2"/>
        <v>0</v>
      </c>
      <c r="G43" s="178">
        <v>1495742</v>
      </c>
      <c r="H43" s="13">
        <f t="shared" si="4"/>
        <v>1525656.84</v>
      </c>
      <c r="I43" s="217">
        <f t="shared" si="3"/>
        <v>1555571.6800000002</v>
      </c>
    </row>
    <row r="44" spans="1:9" ht="15.75">
      <c r="A44" s="9"/>
      <c r="B44" s="151" t="s">
        <v>71</v>
      </c>
      <c r="C44" s="209" t="s">
        <v>75</v>
      </c>
      <c r="D44" s="178"/>
      <c r="E44" s="13">
        <f t="shared" si="1"/>
        <v>0</v>
      </c>
      <c r="F44" s="217">
        <f t="shared" si="2"/>
        <v>0</v>
      </c>
      <c r="G44" s="178">
        <v>96223</v>
      </c>
      <c r="H44" s="13">
        <f t="shared" si="4"/>
        <v>98147.46</v>
      </c>
      <c r="I44" s="217">
        <f t="shared" si="3"/>
        <v>100071.92</v>
      </c>
    </row>
    <row r="45" spans="1:9" ht="15.75">
      <c r="A45" s="9"/>
      <c r="B45" s="151" t="s">
        <v>72</v>
      </c>
      <c r="C45" s="209" t="s">
        <v>243</v>
      </c>
      <c r="D45" s="178"/>
      <c r="E45" s="13">
        <f t="shared" si="1"/>
        <v>0</v>
      </c>
      <c r="F45" s="217">
        <f t="shared" si="2"/>
        <v>0</v>
      </c>
      <c r="G45" s="178"/>
      <c r="H45" s="13">
        <f t="shared" si="4"/>
        <v>0</v>
      </c>
      <c r="I45" s="217">
        <f t="shared" si="3"/>
        <v>0</v>
      </c>
    </row>
    <row r="46" spans="1:9" ht="15.75">
      <c r="A46" s="9"/>
      <c r="B46" s="151" t="s">
        <v>73</v>
      </c>
      <c r="C46" s="209" t="s">
        <v>77</v>
      </c>
      <c r="D46" s="189"/>
      <c r="E46" s="13">
        <f t="shared" si="1"/>
        <v>0</v>
      </c>
      <c r="F46" s="217">
        <f t="shared" si="2"/>
        <v>0</v>
      </c>
      <c r="G46" s="189"/>
      <c r="H46" s="13">
        <f t="shared" si="4"/>
        <v>0</v>
      </c>
      <c r="I46" s="217">
        <f t="shared" si="3"/>
        <v>0</v>
      </c>
    </row>
    <row r="47" spans="1:9" ht="15.75">
      <c r="A47" s="152" t="s">
        <v>177</v>
      </c>
      <c r="B47" s="485" t="s">
        <v>78</v>
      </c>
      <c r="C47" s="485"/>
      <c r="D47" s="260">
        <f>D33+D34+D38+D42</f>
        <v>40421745</v>
      </c>
      <c r="E47" s="242">
        <f t="shared" si="1"/>
        <v>41230179.9</v>
      </c>
      <c r="F47" s="243">
        <f t="shared" si="2"/>
        <v>42038614.800000004</v>
      </c>
      <c r="G47" s="260">
        <f>G33+G34+G38+G42</f>
        <v>43493628</v>
      </c>
      <c r="H47" s="242">
        <f t="shared" si="4"/>
        <v>44363500.56</v>
      </c>
      <c r="I47" s="243">
        <f t="shared" si="3"/>
        <v>45233373.120000005</v>
      </c>
    </row>
    <row r="48" spans="1:9" ht="15.75">
      <c r="A48" s="9" t="s">
        <v>40</v>
      </c>
      <c r="B48" s="487" t="s">
        <v>175</v>
      </c>
      <c r="C48" s="487"/>
      <c r="D48" s="219"/>
      <c r="E48" s="13">
        <f t="shared" si="1"/>
        <v>0</v>
      </c>
      <c r="F48" s="217">
        <f t="shared" si="2"/>
        <v>0</v>
      </c>
      <c r="G48" s="219"/>
      <c r="H48" s="13">
        <f t="shared" si="4"/>
        <v>0</v>
      </c>
      <c r="I48" s="217">
        <f t="shared" si="3"/>
        <v>0</v>
      </c>
    </row>
    <row r="49" spans="1:9" ht="15.75">
      <c r="A49" s="9"/>
      <c r="B49" s="151" t="s">
        <v>79</v>
      </c>
      <c r="C49" s="209" t="s">
        <v>81</v>
      </c>
      <c r="D49" s="219"/>
      <c r="E49" s="13">
        <f t="shared" si="1"/>
        <v>0</v>
      </c>
      <c r="F49" s="217">
        <f t="shared" si="2"/>
        <v>0</v>
      </c>
      <c r="G49" s="219"/>
      <c r="H49" s="13">
        <f t="shared" si="4"/>
        <v>0</v>
      </c>
      <c r="I49" s="217">
        <f t="shared" si="3"/>
        <v>0</v>
      </c>
    </row>
    <row r="50" spans="1:9" ht="15.75">
      <c r="A50" s="9"/>
      <c r="B50" s="151" t="s">
        <v>80</v>
      </c>
      <c r="C50" s="209" t="s">
        <v>0</v>
      </c>
      <c r="D50" s="219"/>
      <c r="E50" s="13">
        <f t="shared" si="1"/>
        <v>0</v>
      </c>
      <c r="F50" s="217">
        <f t="shared" si="2"/>
        <v>0</v>
      </c>
      <c r="G50" s="219"/>
      <c r="H50" s="13">
        <f t="shared" si="4"/>
        <v>0</v>
      </c>
      <c r="I50" s="217">
        <f t="shared" si="3"/>
        <v>0</v>
      </c>
    </row>
    <row r="51" spans="1:9" ht="15.75">
      <c r="A51" s="9" t="s">
        <v>41</v>
      </c>
      <c r="B51" s="487" t="s">
        <v>130</v>
      </c>
      <c r="C51" s="487"/>
      <c r="D51" s="219">
        <f>SUM(D52:D53)</f>
        <v>9319819</v>
      </c>
      <c r="E51" s="13">
        <f t="shared" si="1"/>
        <v>9506215.38</v>
      </c>
      <c r="F51" s="217">
        <f t="shared" si="2"/>
        <v>9692611.76</v>
      </c>
      <c r="G51" s="219">
        <f>SUM(G52:G53)</f>
        <v>48976190</v>
      </c>
      <c r="H51" s="13">
        <f t="shared" si="4"/>
        <v>49955713.800000004</v>
      </c>
      <c r="I51" s="217">
        <f t="shared" si="3"/>
        <v>50935237.6</v>
      </c>
    </row>
    <row r="52" spans="1:9" ht="15.75">
      <c r="A52" s="9"/>
      <c r="B52" s="151" t="s">
        <v>82</v>
      </c>
      <c r="C52" s="209" t="s">
        <v>84</v>
      </c>
      <c r="D52" s="219"/>
      <c r="E52" s="13">
        <f t="shared" si="1"/>
        <v>0</v>
      </c>
      <c r="F52" s="217">
        <f t="shared" si="2"/>
        <v>0</v>
      </c>
      <c r="G52" s="219"/>
      <c r="H52" s="13">
        <f t="shared" si="4"/>
        <v>0</v>
      </c>
      <c r="I52" s="217">
        <f t="shared" si="3"/>
        <v>0</v>
      </c>
    </row>
    <row r="53" spans="1:9" ht="15.75">
      <c r="A53" s="9"/>
      <c r="B53" s="151" t="s">
        <v>83</v>
      </c>
      <c r="C53" s="209" t="s">
        <v>85</v>
      </c>
      <c r="D53" s="219">
        <v>9319819</v>
      </c>
      <c r="E53" s="13">
        <f t="shared" si="1"/>
        <v>9506215.38</v>
      </c>
      <c r="F53" s="217">
        <f t="shared" si="2"/>
        <v>9692611.76</v>
      </c>
      <c r="G53" s="219">
        <v>48976190</v>
      </c>
      <c r="H53" s="13">
        <f t="shared" si="4"/>
        <v>49955713.800000004</v>
      </c>
      <c r="I53" s="217">
        <f t="shared" si="3"/>
        <v>50935237.6</v>
      </c>
    </row>
    <row r="54" spans="1:9" ht="15.75">
      <c r="A54" s="9" t="s">
        <v>42</v>
      </c>
      <c r="B54" s="487" t="s">
        <v>131</v>
      </c>
      <c r="C54" s="487"/>
      <c r="D54" s="219">
        <f>SUM(D55:D57)</f>
        <v>0</v>
      </c>
      <c r="E54" s="13">
        <f t="shared" si="1"/>
        <v>0</v>
      </c>
      <c r="F54" s="217">
        <f t="shared" si="2"/>
        <v>0</v>
      </c>
      <c r="G54" s="219">
        <f>SUM(G55:G57)</f>
        <v>0</v>
      </c>
      <c r="H54" s="13">
        <f t="shared" si="4"/>
        <v>0</v>
      </c>
      <c r="I54" s="217">
        <f t="shared" si="3"/>
        <v>0</v>
      </c>
    </row>
    <row r="55" spans="1:9" ht="15.75">
      <c r="A55" s="9"/>
      <c r="B55" s="151" t="s">
        <v>86</v>
      </c>
      <c r="C55" s="209" t="s">
        <v>89</v>
      </c>
      <c r="D55" s="219">
        <v>0</v>
      </c>
      <c r="E55" s="13">
        <f t="shared" si="1"/>
        <v>0</v>
      </c>
      <c r="F55" s="217">
        <f t="shared" si="2"/>
        <v>0</v>
      </c>
      <c r="G55" s="219">
        <v>0</v>
      </c>
      <c r="H55" s="13">
        <f t="shared" si="4"/>
        <v>0</v>
      </c>
      <c r="I55" s="217">
        <f t="shared" si="3"/>
        <v>0</v>
      </c>
    </row>
    <row r="56" spans="1:9" ht="15.75">
      <c r="A56" s="9"/>
      <c r="B56" s="151" t="s">
        <v>87</v>
      </c>
      <c r="C56" s="209" t="s">
        <v>1</v>
      </c>
      <c r="D56" s="189">
        <v>0</v>
      </c>
      <c r="E56" s="13">
        <f t="shared" si="1"/>
        <v>0</v>
      </c>
      <c r="F56" s="217">
        <f t="shared" si="2"/>
        <v>0</v>
      </c>
      <c r="G56" s="189">
        <v>0</v>
      </c>
      <c r="H56" s="13">
        <f t="shared" si="4"/>
        <v>0</v>
      </c>
      <c r="I56" s="217">
        <f t="shared" si="3"/>
        <v>0</v>
      </c>
    </row>
    <row r="57" spans="1:9" ht="15.75">
      <c r="A57" s="9"/>
      <c r="B57" s="151" t="s">
        <v>88</v>
      </c>
      <c r="C57" s="209" t="s">
        <v>90</v>
      </c>
      <c r="D57" s="219"/>
      <c r="E57" s="13">
        <f t="shared" si="1"/>
        <v>0</v>
      </c>
      <c r="F57" s="217">
        <f t="shared" si="2"/>
        <v>0</v>
      </c>
      <c r="G57" s="219"/>
      <c r="H57" s="13">
        <f t="shared" si="4"/>
        <v>0</v>
      </c>
      <c r="I57" s="217">
        <f t="shared" si="3"/>
        <v>0</v>
      </c>
    </row>
    <row r="58" spans="1:9" ht="15.75">
      <c r="A58" s="152" t="s">
        <v>178</v>
      </c>
      <c r="B58" s="485" t="s">
        <v>196</v>
      </c>
      <c r="C58" s="485"/>
      <c r="D58" s="219">
        <f>+D48+D51+D54</f>
        <v>9319819</v>
      </c>
      <c r="E58" s="13">
        <f t="shared" si="1"/>
        <v>9506215.38</v>
      </c>
      <c r="F58" s="217">
        <f t="shared" si="2"/>
        <v>9692611.76</v>
      </c>
      <c r="G58" s="219">
        <f>+G48+G51+G54</f>
        <v>48976190</v>
      </c>
      <c r="H58" s="13">
        <f t="shared" si="4"/>
        <v>49955713.800000004</v>
      </c>
      <c r="I58" s="217">
        <f t="shared" si="3"/>
        <v>50935237.6</v>
      </c>
    </row>
    <row r="59" spans="1:9" ht="15.75">
      <c r="A59" s="152" t="s">
        <v>179</v>
      </c>
      <c r="B59" s="485" t="s">
        <v>132</v>
      </c>
      <c r="C59" s="485"/>
      <c r="D59" s="220"/>
      <c r="E59" s="13">
        <f t="shared" si="1"/>
        <v>0</v>
      </c>
      <c r="F59" s="217">
        <f t="shared" si="2"/>
        <v>0</v>
      </c>
      <c r="G59" s="220"/>
      <c r="H59" s="13">
        <f t="shared" si="4"/>
        <v>0</v>
      </c>
      <c r="I59" s="217">
        <f t="shared" si="3"/>
        <v>0</v>
      </c>
    </row>
    <row r="60" spans="1:9" ht="16.5" thickBot="1">
      <c r="A60" s="152" t="s">
        <v>165</v>
      </c>
      <c r="B60" s="485" t="s">
        <v>21</v>
      </c>
      <c r="C60" s="485"/>
      <c r="D60" s="220"/>
      <c r="E60" s="246">
        <f t="shared" si="1"/>
        <v>0</v>
      </c>
      <c r="F60" s="247">
        <f t="shared" si="2"/>
        <v>0</v>
      </c>
      <c r="G60" s="220"/>
      <c r="H60" s="246">
        <f t="shared" si="4"/>
        <v>0</v>
      </c>
      <c r="I60" s="247">
        <f t="shared" si="3"/>
        <v>0</v>
      </c>
    </row>
    <row r="61" spans="1:9" ht="18.75">
      <c r="A61" s="86" t="s">
        <v>133</v>
      </c>
      <c r="B61" s="484" t="s">
        <v>134</v>
      </c>
      <c r="C61" s="484"/>
      <c r="D61" s="253">
        <f>+D47+D58+D59+D60</f>
        <v>49741564</v>
      </c>
      <c r="E61" s="256">
        <f t="shared" si="1"/>
        <v>50736395.28</v>
      </c>
      <c r="F61" s="257">
        <f t="shared" si="2"/>
        <v>51731226.56</v>
      </c>
      <c r="G61" s="253">
        <f>+G47+G58+G59+G60</f>
        <v>92469818</v>
      </c>
      <c r="H61" s="256">
        <f t="shared" si="4"/>
        <v>94319214.36</v>
      </c>
      <c r="I61" s="257">
        <f t="shared" si="3"/>
        <v>96168610.72</v>
      </c>
    </row>
    <row r="62" spans="1:9" ht="19.5" thickBot="1">
      <c r="A62" s="86"/>
      <c r="B62" s="484" t="s">
        <v>135</v>
      </c>
      <c r="C62" s="484"/>
      <c r="D62" s="191">
        <f>+D30-D61</f>
        <v>40638869</v>
      </c>
      <c r="E62" s="258">
        <f t="shared" si="1"/>
        <v>41451646.38</v>
      </c>
      <c r="F62" s="259">
        <f t="shared" si="2"/>
        <v>42264423.76</v>
      </c>
      <c r="G62" s="191">
        <f>+G30-G61</f>
        <v>40707764</v>
      </c>
      <c r="H62" s="258">
        <f t="shared" si="4"/>
        <v>41521919.28</v>
      </c>
      <c r="I62" s="259">
        <f t="shared" si="3"/>
        <v>42336074.56</v>
      </c>
    </row>
    <row r="63" spans="1:9" ht="18.75">
      <c r="A63" s="86"/>
      <c r="B63" s="485" t="s">
        <v>244</v>
      </c>
      <c r="C63" s="485"/>
      <c r="D63" s="205"/>
      <c r="E63" s="254">
        <f t="shared" si="1"/>
        <v>0</v>
      </c>
      <c r="F63" s="255">
        <f t="shared" si="2"/>
        <v>0</v>
      </c>
      <c r="G63" s="205"/>
      <c r="H63" s="254">
        <f t="shared" si="4"/>
        <v>0</v>
      </c>
      <c r="I63" s="255">
        <f t="shared" si="3"/>
        <v>0</v>
      </c>
    </row>
    <row r="64" spans="1:9" ht="15.75">
      <c r="A64" s="152" t="s">
        <v>166</v>
      </c>
      <c r="B64" s="485" t="s">
        <v>136</v>
      </c>
      <c r="C64" s="485"/>
      <c r="D64" s="202">
        <f>D66+D65</f>
        <v>40638869</v>
      </c>
      <c r="E64" s="13">
        <f t="shared" si="1"/>
        <v>41451646.38</v>
      </c>
      <c r="F64" s="217">
        <f t="shared" si="2"/>
        <v>42264423.76</v>
      </c>
      <c r="G64" s="202">
        <f>G66+G65</f>
        <v>40638869</v>
      </c>
      <c r="H64" s="13">
        <f t="shared" si="4"/>
        <v>41451646.38</v>
      </c>
      <c r="I64" s="217">
        <f t="shared" si="3"/>
        <v>42264423.76</v>
      </c>
    </row>
    <row r="65" spans="1:9" ht="18.75">
      <c r="A65" s="86"/>
      <c r="B65" s="176" t="s">
        <v>29</v>
      </c>
      <c r="C65" s="209" t="s">
        <v>91</v>
      </c>
      <c r="D65" s="189">
        <v>15217845</v>
      </c>
      <c r="E65" s="13">
        <f t="shared" si="1"/>
        <v>15522201.9</v>
      </c>
      <c r="F65" s="217">
        <f t="shared" si="2"/>
        <v>15826558.8</v>
      </c>
      <c r="G65" s="189">
        <v>15217845</v>
      </c>
      <c r="H65" s="13">
        <f t="shared" si="4"/>
        <v>15522201.9</v>
      </c>
      <c r="I65" s="217">
        <f t="shared" si="3"/>
        <v>15826558.8</v>
      </c>
    </row>
    <row r="66" spans="1:9" ht="18.75">
      <c r="A66" s="86"/>
      <c r="B66" s="176" t="s">
        <v>37</v>
      </c>
      <c r="C66" s="209" t="s">
        <v>92</v>
      </c>
      <c r="D66" s="189">
        <v>25421024</v>
      </c>
      <c r="E66" s="13">
        <f t="shared" si="1"/>
        <v>25929444.48</v>
      </c>
      <c r="F66" s="217">
        <f t="shared" si="2"/>
        <v>26437864.96</v>
      </c>
      <c r="G66" s="189">
        <v>25421024</v>
      </c>
      <c r="H66" s="13">
        <f t="shared" si="4"/>
        <v>25929444.48</v>
      </c>
      <c r="I66" s="217">
        <f t="shared" si="3"/>
        <v>26437864.96</v>
      </c>
    </row>
    <row r="67" spans="1:9" ht="39" customHeight="1">
      <c r="A67" s="86" t="s">
        <v>137</v>
      </c>
      <c r="B67" s="486" t="s">
        <v>141</v>
      </c>
      <c r="C67" s="486"/>
      <c r="D67" s="205">
        <f>D64</f>
        <v>40638869</v>
      </c>
      <c r="E67" s="242">
        <f t="shared" si="1"/>
        <v>41451646.38</v>
      </c>
      <c r="F67" s="243">
        <f t="shared" si="2"/>
        <v>42264423.76</v>
      </c>
      <c r="G67" s="205">
        <f>G64</f>
        <v>40638869</v>
      </c>
      <c r="H67" s="242">
        <f t="shared" si="4"/>
        <v>41451646.38</v>
      </c>
      <c r="I67" s="243">
        <f t="shared" si="3"/>
        <v>42264423.76</v>
      </c>
    </row>
    <row r="68" spans="1:9" ht="18.75">
      <c r="A68" s="9" t="s">
        <v>167</v>
      </c>
      <c r="B68" s="487" t="s">
        <v>138</v>
      </c>
      <c r="C68" s="487"/>
      <c r="D68" s="205"/>
      <c r="E68" s="13">
        <f t="shared" si="1"/>
        <v>0</v>
      </c>
      <c r="F68" s="217">
        <f t="shared" si="2"/>
        <v>0</v>
      </c>
      <c r="G68" s="205"/>
      <c r="H68" s="13">
        <f t="shared" si="4"/>
        <v>0</v>
      </c>
      <c r="I68" s="217">
        <f t="shared" si="3"/>
        <v>0</v>
      </c>
    </row>
    <row r="69" spans="1:9" ht="18.75">
      <c r="A69" s="9" t="s">
        <v>168</v>
      </c>
      <c r="B69" s="487" t="s">
        <v>139</v>
      </c>
      <c r="C69" s="487"/>
      <c r="D69" s="205">
        <f>SUM(D70:D73)</f>
        <v>0</v>
      </c>
      <c r="E69" s="13">
        <f t="shared" si="1"/>
        <v>0</v>
      </c>
      <c r="F69" s="217">
        <f t="shared" si="2"/>
        <v>0</v>
      </c>
      <c r="G69" s="205">
        <f>SUM(G70:G73)</f>
        <v>0</v>
      </c>
      <c r="H69" s="13">
        <f t="shared" si="4"/>
        <v>0</v>
      </c>
      <c r="I69" s="217">
        <f t="shared" si="3"/>
        <v>0</v>
      </c>
    </row>
    <row r="70" spans="1:9" ht="18.75">
      <c r="A70" s="9"/>
      <c r="B70" s="151" t="s">
        <v>29</v>
      </c>
      <c r="C70" s="209" t="s">
        <v>93</v>
      </c>
      <c r="D70" s="206"/>
      <c r="E70" s="13">
        <f t="shared" si="1"/>
        <v>0</v>
      </c>
      <c r="F70" s="217">
        <f t="shared" si="2"/>
        <v>0</v>
      </c>
      <c r="G70" s="206"/>
      <c r="H70" s="13">
        <f t="shared" si="4"/>
        <v>0</v>
      </c>
      <c r="I70" s="217">
        <f t="shared" si="3"/>
        <v>0</v>
      </c>
    </row>
    <row r="71" spans="1:9" ht="18.75">
      <c r="A71" s="9"/>
      <c r="B71" s="151" t="s">
        <v>37</v>
      </c>
      <c r="C71" s="209" t="s">
        <v>94</v>
      </c>
      <c r="D71" s="205"/>
      <c r="E71" s="13">
        <f t="shared" si="1"/>
        <v>0</v>
      </c>
      <c r="F71" s="217">
        <f t="shared" si="2"/>
        <v>0</v>
      </c>
      <c r="G71" s="205"/>
      <c r="H71" s="13">
        <f t="shared" si="4"/>
        <v>0</v>
      </c>
      <c r="I71" s="217">
        <f t="shared" si="3"/>
        <v>0</v>
      </c>
    </row>
    <row r="72" spans="1:9" ht="18.75">
      <c r="A72" s="9"/>
      <c r="B72" s="151" t="s">
        <v>38</v>
      </c>
      <c r="C72" s="209" t="s">
        <v>208</v>
      </c>
      <c r="D72" s="206"/>
      <c r="E72" s="13">
        <f t="shared" si="1"/>
        <v>0</v>
      </c>
      <c r="F72" s="217">
        <f t="shared" si="2"/>
        <v>0</v>
      </c>
      <c r="G72" s="206"/>
      <c r="H72" s="13">
        <f t="shared" si="4"/>
        <v>0</v>
      </c>
      <c r="I72" s="217">
        <f t="shared" si="3"/>
        <v>0</v>
      </c>
    </row>
    <row r="73" spans="1:9" ht="18.75">
      <c r="A73" s="9"/>
      <c r="B73" s="151" t="s">
        <v>39</v>
      </c>
      <c r="C73" s="209" t="s">
        <v>209</v>
      </c>
      <c r="D73" s="206"/>
      <c r="E73" s="13">
        <f t="shared" si="1"/>
        <v>0</v>
      </c>
      <c r="F73" s="217">
        <f t="shared" si="2"/>
        <v>0</v>
      </c>
      <c r="G73" s="206"/>
      <c r="H73" s="13">
        <f t="shared" si="4"/>
        <v>0</v>
      </c>
      <c r="I73" s="217">
        <f t="shared" si="3"/>
        <v>0</v>
      </c>
    </row>
    <row r="74" spans="1:9" ht="18.75">
      <c r="A74" s="9"/>
      <c r="B74" s="413" t="s">
        <v>40</v>
      </c>
      <c r="C74" s="491" t="s">
        <v>535</v>
      </c>
      <c r="D74" s="491"/>
      <c r="E74" s="13"/>
      <c r="F74" s="217"/>
      <c r="G74" s="206">
        <v>68895</v>
      </c>
      <c r="H74" s="13">
        <f t="shared" si="4"/>
        <v>70272.9</v>
      </c>
      <c r="I74" s="217">
        <f t="shared" si="3"/>
        <v>71650.8</v>
      </c>
    </row>
    <row r="75" spans="1:9" ht="19.5" customHeight="1">
      <c r="A75" s="86" t="s">
        <v>140</v>
      </c>
      <c r="B75" s="687" t="s">
        <v>142</v>
      </c>
      <c r="C75" s="688"/>
      <c r="D75" s="205">
        <f>+D68+D69</f>
        <v>0</v>
      </c>
      <c r="E75" s="13">
        <f t="shared" si="1"/>
        <v>0</v>
      </c>
      <c r="F75" s="217">
        <f t="shared" si="2"/>
        <v>0</v>
      </c>
      <c r="G75" s="205">
        <f>+G68+G69</f>
        <v>0</v>
      </c>
      <c r="H75" s="13">
        <f t="shared" si="4"/>
        <v>0</v>
      </c>
      <c r="I75" s="217">
        <f t="shared" si="3"/>
        <v>0</v>
      </c>
    </row>
    <row r="76" spans="1:9" ht="18.75">
      <c r="A76" s="86" t="s">
        <v>143</v>
      </c>
      <c r="B76" s="484" t="s">
        <v>144</v>
      </c>
      <c r="C76" s="484"/>
      <c r="D76" s="205">
        <f>+D67+D75</f>
        <v>40638869</v>
      </c>
      <c r="E76" s="242">
        <f aca="true" t="shared" si="5" ref="E76:E84">D76*102%</f>
        <v>41451646.38</v>
      </c>
      <c r="F76" s="243">
        <f aca="true" t="shared" si="6" ref="F76:F84">D76*104%</f>
        <v>42264423.76</v>
      </c>
      <c r="G76" s="205">
        <f>+G67+G75+G74</f>
        <v>40707764</v>
      </c>
      <c r="H76" s="205">
        <f>+H67+H75+H74</f>
        <v>41521919.28</v>
      </c>
      <c r="I76" s="205">
        <f>+I67+I75+I74</f>
        <v>42336074.559999995</v>
      </c>
    </row>
    <row r="77" spans="1:9" ht="18.75">
      <c r="A77" s="9" t="s">
        <v>169</v>
      </c>
      <c r="B77" s="487" t="s">
        <v>245</v>
      </c>
      <c r="C77" s="487"/>
      <c r="D77" s="205"/>
      <c r="E77" s="13">
        <f t="shared" si="5"/>
        <v>0</v>
      </c>
      <c r="F77" s="217">
        <f t="shared" si="6"/>
        <v>0</v>
      </c>
      <c r="G77" s="205"/>
      <c r="H77" s="13">
        <f t="shared" si="4"/>
        <v>0</v>
      </c>
      <c r="I77" s="217">
        <f aca="true" t="shared" si="7" ref="I77:I84">G77*104%</f>
        <v>0</v>
      </c>
    </row>
    <row r="78" spans="1:9" ht="18.75">
      <c r="A78" s="9" t="s">
        <v>170</v>
      </c>
      <c r="B78" s="487" t="s">
        <v>146</v>
      </c>
      <c r="C78" s="487"/>
      <c r="D78" s="206"/>
      <c r="E78" s="13">
        <f t="shared" si="5"/>
        <v>0</v>
      </c>
      <c r="F78" s="217">
        <f t="shared" si="6"/>
        <v>0</v>
      </c>
      <c r="G78" s="206"/>
      <c r="H78" s="13">
        <f t="shared" si="4"/>
        <v>0</v>
      </c>
      <c r="I78" s="217">
        <f t="shared" si="7"/>
        <v>0</v>
      </c>
    </row>
    <row r="79" spans="1:9" ht="18.75">
      <c r="A79" s="9"/>
      <c r="B79" s="151" t="s">
        <v>29</v>
      </c>
      <c r="C79" s="209" t="s">
        <v>206</v>
      </c>
      <c r="D79" s="206"/>
      <c r="E79" s="13">
        <f t="shared" si="5"/>
        <v>0</v>
      </c>
      <c r="F79" s="217">
        <f t="shared" si="6"/>
        <v>0</v>
      </c>
      <c r="G79" s="206"/>
      <c r="H79" s="13">
        <f t="shared" si="4"/>
        <v>0</v>
      </c>
      <c r="I79" s="217">
        <f t="shared" si="7"/>
        <v>0</v>
      </c>
    </row>
    <row r="80" spans="1:9" ht="18.75">
      <c r="A80" s="9"/>
      <c r="B80" s="151" t="s">
        <v>37</v>
      </c>
      <c r="C80" s="209" t="s">
        <v>205</v>
      </c>
      <c r="D80" s="206"/>
      <c r="E80" s="13">
        <f t="shared" si="5"/>
        <v>0</v>
      </c>
      <c r="F80" s="217">
        <f t="shared" si="6"/>
        <v>0</v>
      </c>
      <c r="G80" s="206"/>
      <c r="H80" s="13">
        <f t="shared" si="4"/>
        <v>0</v>
      </c>
      <c r="I80" s="217">
        <f t="shared" si="7"/>
        <v>0</v>
      </c>
    </row>
    <row r="81" spans="1:9" ht="18.75">
      <c r="A81" s="9" t="s">
        <v>234</v>
      </c>
      <c r="B81" s="487"/>
      <c r="C81" s="689"/>
      <c r="D81" s="206"/>
      <c r="E81" s="13">
        <f t="shared" si="5"/>
        <v>0</v>
      </c>
      <c r="F81" s="217">
        <f t="shared" si="6"/>
        <v>0</v>
      </c>
      <c r="G81" s="206"/>
      <c r="H81" s="13">
        <f t="shared" si="4"/>
        <v>0</v>
      </c>
      <c r="I81" s="217">
        <f t="shared" si="7"/>
        <v>0</v>
      </c>
    </row>
    <row r="82" spans="1:9" ht="19.5" thickBot="1">
      <c r="A82" s="244" t="s">
        <v>147</v>
      </c>
      <c r="B82" s="690" t="s">
        <v>148</v>
      </c>
      <c r="C82" s="690"/>
      <c r="D82" s="245"/>
      <c r="E82" s="246">
        <f t="shared" si="5"/>
        <v>0</v>
      </c>
      <c r="F82" s="247">
        <f t="shared" si="6"/>
        <v>0</v>
      </c>
      <c r="G82" s="245"/>
      <c r="H82" s="246">
        <f>G82*102%</f>
        <v>0</v>
      </c>
      <c r="I82" s="247">
        <f t="shared" si="7"/>
        <v>0</v>
      </c>
    </row>
    <row r="83" spans="1:9" ht="19.5" thickBot="1">
      <c r="A83" s="248" t="s">
        <v>187</v>
      </c>
      <c r="B83" s="686" t="s">
        <v>189</v>
      </c>
      <c r="C83" s="686"/>
      <c r="D83" s="249">
        <f>+D30+D82</f>
        <v>90380433</v>
      </c>
      <c r="E83" s="250">
        <f t="shared" si="5"/>
        <v>92188041.66</v>
      </c>
      <c r="F83" s="251">
        <f t="shared" si="6"/>
        <v>93995650.32000001</v>
      </c>
      <c r="G83" s="249">
        <f>+G30+G82</f>
        <v>133177582</v>
      </c>
      <c r="H83" s="250">
        <f>G83*102%</f>
        <v>135841133.64000002</v>
      </c>
      <c r="I83" s="251">
        <f t="shared" si="7"/>
        <v>138504685.28</v>
      </c>
    </row>
    <row r="84" spans="1:9" ht="19.5" thickBot="1">
      <c r="A84" s="248" t="s">
        <v>188</v>
      </c>
      <c r="B84" s="252" t="s">
        <v>190</v>
      </c>
      <c r="C84" s="252"/>
      <c r="D84" s="249">
        <f>+D61+D76+D63</f>
        <v>90380433</v>
      </c>
      <c r="E84" s="250">
        <f t="shared" si="5"/>
        <v>92188041.66</v>
      </c>
      <c r="F84" s="251">
        <f t="shared" si="6"/>
        <v>93995650.32000001</v>
      </c>
      <c r="G84" s="249">
        <f>+G61+G76+G63</f>
        <v>133177582</v>
      </c>
      <c r="H84" s="250">
        <f>G84*102%</f>
        <v>135841133.64000002</v>
      </c>
      <c r="I84" s="251">
        <f t="shared" si="7"/>
        <v>138504685.28</v>
      </c>
    </row>
    <row r="85" spans="1:9" ht="15.75">
      <c r="A85" s="2"/>
      <c r="B85" s="15"/>
      <c r="C85" s="15"/>
      <c r="D85" s="16"/>
      <c r="E85" s="16"/>
      <c r="F85" s="16"/>
      <c r="G85" s="16"/>
      <c r="H85" s="16"/>
      <c r="I85" s="16"/>
    </row>
    <row r="86" spans="1:6" ht="15.75">
      <c r="A86" s="2"/>
      <c r="B86" s="15"/>
      <c r="C86" s="15"/>
      <c r="D86" s="108">
        <f>+D84-D83</f>
        <v>0</v>
      </c>
      <c r="E86" s="108">
        <f>+E84-E83</f>
        <v>0</v>
      </c>
      <c r="F86" s="108">
        <f>+F84-F83</f>
        <v>0</v>
      </c>
    </row>
  </sheetData>
  <sheetProtection/>
  <mergeCells count="64">
    <mergeCell ref="C74:D74"/>
    <mergeCell ref="B83:C83"/>
    <mergeCell ref="B75:C75"/>
    <mergeCell ref="B76:C76"/>
    <mergeCell ref="B77:C77"/>
    <mergeCell ref="B78:C78"/>
    <mergeCell ref="B81:C81"/>
    <mergeCell ref="B82:C82"/>
    <mergeCell ref="B61:C61"/>
    <mergeCell ref="B62:C62"/>
    <mergeCell ref="B63:C63"/>
    <mergeCell ref="B64:C64"/>
    <mergeCell ref="B67:C67"/>
    <mergeCell ref="B68:C68"/>
    <mergeCell ref="B34:C34"/>
    <mergeCell ref="B38:C38"/>
    <mergeCell ref="B42:C42"/>
    <mergeCell ref="B47:C47"/>
    <mergeCell ref="B69:C69"/>
    <mergeCell ref="B51:C51"/>
    <mergeCell ref="B54:C54"/>
    <mergeCell ref="B58:C58"/>
    <mergeCell ref="B59:C59"/>
    <mergeCell ref="B60:C60"/>
    <mergeCell ref="B24:C24"/>
    <mergeCell ref="B25:C25"/>
    <mergeCell ref="B48:C48"/>
    <mergeCell ref="B27:C27"/>
    <mergeCell ref="B28:C28"/>
    <mergeCell ref="B29:C29"/>
    <mergeCell ref="B30:C30"/>
    <mergeCell ref="B31:C31"/>
    <mergeCell ref="B32:C32"/>
    <mergeCell ref="B33:C33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G6:G7"/>
    <mergeCell ref="H6:H7"/>
    <mergeCell ref="I6:I7"/>
    <mergeCell ref="G8:I8"/>
    <mergeCell ref="B13:C13"/>
    <mergeCell ref="D8:F8"/>
    <mergeCell ref="B9:C9"/>
    <mergeCell ref="B10:C10"/>
    <mergeCell ref="B11:C11"/>
    <mergeCell ref="B12:C12"/>
  </mergeCells>
  <printOptions/>
  <pageMargins left="0.1968503937007874" right="0.15748031496062992" top="0.15748031496062992" bottom="0.15748031496062992" header="0.15748031496062992" footer="0.1968503937007874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9"/>
  <sheetViews>
    <sheetView zoomScalePageLayoutView="0" workbookViewId="0" topLeftCell="N8">
      <selection activeCell="AJ26" sqref="AJ26"/>
    </sheetView>
  </sheetViews>
  <sheetFormatPr defaultColWidth="9.00390625" defaultRowHeight="12.75"/>
  <cols>
    <col min="1" max="17" width="3.125" style="0" customWidth="1"/>
    <col min="18" max="18" width="2.125" style="0" customWidth="1"/>
    <col min="19" max="19" width="9.75390625" style="0" customWidth="1"/>
    <col min="20" max="21" width="3.125" style="0" customWidth="1"/>
    <col min="22" max="22" width="11.75390625" style="0" customWidth="1"/>
    <col min="23" max="23" width="8.875" style="0" customWidth="1"/>
    <col min="24" max="25" width="14.875" style="0" customWidth="1"/>
    <col min="26" max="26" width="12.875" style="356" customWidth="1"/>
    <col min="27" max="27" width="14.375" style="357" customWidth="1"/>
    <col min="28" max="29" width="13.25390625" style="358" customWidth="1"/>
    <col min="30" max="32" width="14.25390625" style="358" customWidth="1"/>
    <col min="33" max="33" width="13.625" style="358" customWidth="1"/>
    <col min="34" max="34" width="15.125" style="359" customWidth="1"/>
    <col min="35" max="35" width="13.375" style="359" bestFit="1" customWidth="1"/>
    <col min="36" max="36" width="15.25390625" style="359" bestFit="1" customWidth="1"/>
    <col min="37" max="37" width="14.00390625" style="359" customWidth="1"/>
    <col min="38" max="38" width="13.375" style="359" bestFit="1" customWidth="1"/>
    <col min="39" max="39" width="13.375" style="359" customWidth="1"/>
    <col min="40" max="40" width="14.625" style="359" bestFit="1" customWidth="1"/>
    <col min="41" max="41" width="14.25390625" style="359" customWidth="1"/>
    <col min="42" max="42" width="12.125" style="359" customWidth="1"/>
    <col min="43" max="43" width="12.625" style="359" bestFit="1" customWidth="1"/>
    <col min="44" max="44" width="14.00390625" style="359" customWidth="1"/>
    <col min="45" max="45" width="14.00390625" style="240" customWidth="1"/>
    <col min="46" max="16384" width="9.125" style="240" customWidth="1"/>
  </cols>
  <sheetData>
    <row r="1" spans="1:21" ht="18.75">
      <c r="A1" s="354"/>
      <c r="B1" s="355"/>
      <c r="C1" s="691" t="s">
        <v>598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</row>
    <row r="2" spans="1:21" ht="18.75">
      <c r="A2" s="355"/>
      <c r="B2" s="355"/>
      <c r="C2" s="691" t="s">
        <v>220</v>
      </c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</row>
    <row r="3" spans="1:24" ht="16.5" thickBot="1">
      <c r="A3" s="355"/>
      <c r="B3" s="355"/>
      <c r="C3" s="360" t="s">
        <v>355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X3" t="s">
        <v>586</v>
      </c>
    </row>
    <row r="4" spans="1:33" ht="15.7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261"/>
      <c r="W4" s="362"/>
      <c r="X4" s="363"/>
      <c r="Y4" s="363"/>
      <c r="Z4" s="364"/>
      <c r="AB4" s="365"/>
      <c r="AC4" s="365"/>
      <c r="AD4" s="365"/>
      <c r="AE4" s="365"/>
      <c r="AF4" s="365"/>
      <c r="AG4" s="365"/>
    </row>
    <row r="5" spans="1:22" ht="15.75">
      <c r="A5" s="697" t="s">
        <v>171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9"/>
      <c r="T5" s="703" t="s">
        <v>184</v>
      </c>
      <c r="U5" s="704"/>
      <c r="V5" s="96" t="s">
        <v>337</v>
      </c>
    </row>
    <row r="6" spans="1:45" ht="78" customHeight="1">
      <c r="A6" s="700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2"/>
      <c r="T6" s="705"/>
      <c r="U6" s="706"/>
      <c r="V6" s="96" t="s">
        <v>337</v>
      </c>
      <c r="W6" s="233" t="s">
        <v>338</v>
      </c>
      <c r="X6" s="403" t="s">
        <v>583</v>
      </c>
      <c r="Y6" s="403" t="s">
        <v>584</v>
      </c>
      <c r="Z6" s="366" t="s">
        <v>502</v>
      </c>
      <c r="AA6" s="367" t="s">
        <v>503</v>
      </c>
      <c r="AB6" s="367" t="s">
        <v>504</v>
      </c>
      <c r="AC6" s="367" t="s">
        <v>505</v>
      </c>
      <c r="AD6" s="368" t="s">
        <v>506</v>
      </c>
      <c r="AE6" s="368" t="s">
        <v>507</v>
      </c>
      <c r="AF6" s="368" t="s">
        <v>508</v>
      </c>
      <c r="AG6" s="367" t="s">
        <v>509</v>
      </c>
      <c r="AH6" s="368" t="s">
        <v>510</v>
      </c>
      <c r="AI6" s="369" t="s">
        <v>511</v>
      </c>
      <c r="AJ6" s="367" t="s">
        <v>512</v>
      </c>
      <c r="AK6" s="367" t="s">
        <v>513</v>
      </c>
      <c r="AL6" s="368" t="s">
        <v>514</v>
      </c>
      <c r="AM6" s="368" t="s">
        <v>515</v>
      </c>
      <c r="AN6" s="368" t="s">
        <v>516</v>
      </c>
      <c r="AO6" s="368" t="s">
        <v>517</v>
      </c>
      <c r="AP6" s="368" t="s">
        <v>518</v>
      </c>
      <c r="AQ6" s="368" t="s">
        <v>519</v>
      </c>
      <c r="AR6" s="368" t="s">
        <v>635</v>
      </c>
      <c r="AS6" s="368" t="s">
        <v>631</v>
      </c>
    </row>
    <row r="7" spans="1:44" ht="15.75">
      <c r="A7" s="692" t="s">
        <v>356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4"/>
      <c r="T7" s="695" t="s">
        <v>339</v>
      </c>
      <c r="U7" s="696"/>
      <c r="V7" s="370" t="s">
        <v>357</v>
      </c>
      <c r="W7" s="371"/>
      <c r="X7" s="372">
        <v>212275</v>
      </c>
      <c r="Y7" s="372">
        <f>SUM(Z7:AR7)</f>
        <v>212275</v>
      </c>
      <c r="Z7" s="373">
        <v>0</v>
      </c>
      <c r="AH7" s="374">
        <v>212275</v>
      </c>
      <c r="AI7" s="358"/>
      <c r="AJ7" s="358">
        <v>0</v>
      </c>
      <c r="AK7" s="358"/>
      <c r="AL7" s="358"/>
      <c r="AM7" s="358"/>
      <c r="AN7" s="358">
        <v>0</v>
      </c>
      <c r="AO7" s="358"/>
      <c r="AP7" s="358"/>
      <c r="AQ7" s="358"/>
      <c r="AR7" s="358"/>
    </row>
    <row r="8" spans="1:44" ht="15.75">
      <c r="A8" s="692" t="s">
        <v>358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4"/>
      <c r="T8" s="695" t="s">
        <v>340</v>
      </c>
      <c r="U8" s="696"/>
      <c r="V8" s="375" t="s">
        <v>359</v>
      </c>
      <c r="W8" s="371" t="s">
        <v>360</v>
      </c>
      <c r="X8" s="372">
        <v>2650000</v>
      </c>
      <c r="Y8" s="372">
        <f>SUM(Z8:AR8)</f>
        <v>2532752</v>
      </c>
      <c r="Z8" s="373">
        <v>0</v>
      </c>
      <c r="AB8" s="358">
        <v>0</v>
      </c>
      <c r="AD8" s="358">
        <v>1010000</v>
      </c>
      <c r="AG8" s="358">
        <v>700000</v>
      </c>
      <c r="AH8" s="374">
        <v>200000</v>
      </c>
      <c r="AI8" s="358"/>
      <c r="AJ8" s="358">
        <v>582752</v>
      </c>
      <c r="AK8" s="358">
        <v>40000</v>
      </c>
      <c r="AL8" s="358"/>
      <c r="AM8" s="358"/>
      <c r="AN8" s="358">
        <v>0</v>
      </c>
      <c r="AO8" s="358">
        <v>0</v>
      </c>
      <c r="AP8" s="358"/>
      <c r="AQ8" s="358">
        <v>0</v>
      </c>
      <c r="AR8" s="358">
        <v>0</v>
      </c>
    </row>
    <row r="9" spans="1:44" ht="16.5" thickBot="1">
      <c r="A9" s="692" t="s">
        <v>361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5" t="s">
        <v>341</v>
      </c>
      <c r="U9" s="696"/>
      <c r="V9" s="375" t="s">
        <v>362</v>
      </c>
      <c r="W9" s="371" t="s">
        <v>363</v>
      </c>
      <c r="X9" s="372">
        <f>SUM(Z9:AQ9)</f>
        <v>0</v>
      </c>
      <c r="Y9" s="372">
        <f>SUM(Z9:AR9)</f>
        <v>0</v>
      </c>
      <c r="Z9" s="373"/>
      <c r="AH9" s="374"/>
      <c r="AI9" s="358"/>
      <c r="AJ9" s="358"/>
      <c r="AK9" s="358"/>
      <c r="AL9" s="358"/>
      <c r="AM9" s="358"/>
      <c r="AN9" s="358"/>
      <c r="AO9" s="358"/>
      <c r="AP9" s="358"/>
      <c r="AQ9" s="358"/>
      <c r="AR9" s="358"/>
    </row>
    <row r="10" spans="1:44" ht="16.5" thickBot="1">
      <c r="A10" s="707" t="s">
        <v>364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9"/>
      <c r="T10" s="695" t="s">
        <v>342</v>
      </c>
      <c r="U10" s="696"/>
      <c r="V10" s="375"/>
      <c r="W10" s="371" t="s">
        <v>365</v>
      </c>
      <c r="X10" s="376">
        <f>X7+X8+X9</f>
        <v>2862275</v>
      </c>
      <c r="Y10" s="376">
        <f>Y7+Y8+Y9</f>
        <v>2745027</v>
      </c>
      <c r="Z10" s="373">
        <f aca="true" t="shared" si="0" ref="Z10:AQ10">Z7+Z8+Z9</f>
        <v>0</v>
      </c>
      <c r="AA10" s="373">
        <f t="shared" si="0"/>
        <v>0</v>
      </c>
      <c r="AB10" s="373">
        <f t="shared" si="0"/>
        <v>0</v>
      </c>
      <c r="AC10" s="373">
        <f t="shared" si="0"/>
        <v>0</v>
      </c>
      <c r="AD10" s="373">
        <f t="shared" si="0"/>
        <v>1010000</v>
      </c>
      <c r="AE10" s="373">
        <f t="shared" si="0"/>
        <v>0</v>
      </c>
      <c r="AF10" s="373">
        <f t="shared" si="0"/>
        <v>0</v>
      </c>
      <c r="AG10" s="373">
        <f t="shared" si="0"/>
        <v>700000</v>
      </c>
      <c r="AH10" s="377">
        <f t="shared" si="0"/>
        <v>412275</v>
      </c>
      <c r="AI10" s="373">
        <f t="shared" si="0"/>
        <v>0</v>
      </c>
      <c r="AJ10" s="373">
        <f t="shared" si="0"/>
        <v>582752</v>
      </c>
      <c r="AK10" s="373">
        <f t="shared" si="0"/>
        <v>40000</v>
      </c>
      <c r="AL10" s="373">
        <f t="shared" si="0"/>
        <v>0</v>
      </c>
      <c r="AM10" s="373"/>
      <c r="AN10" s="373">
        <f t="shared" si="0"/>
        <v>0</v>
      </c>
      <c r="AO10" s="373">
        <f t="shared" si="0"/>
        <v>0</v>
      </c>
      <c r="AP10" s="373">
        <f t="shared" si="0"/>
        <v>0</v>
      </c>
      <c r="AQ10" s="373">
        <f t="shared" si="0"/>
        <v>0</v>
      </c>
      <c r="AR10" s="373">
        <f>AR7+AR8+AR9</f>
        <v>0</v>
      </c>
    </row>
    <row r="11" spans="1:44" ht="15.75">
      <c r="A11" s="692" t="s">
        <v>366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5" t="s">
        <v>343</v>
      </c>
      <c r="U11" s="696"/>
      <c r="V11" s="375" t="s">
        <v>367</v>
      </c>
      <c r="W11" s="371"/>
      <c r="X11" s="372">
        <v>345600</v>
      </c>
      <c r="Y11" s="372">
        <f>SUM(Z11:AR11)</f>
        <v>345600</v>
      </c>
      <c r="Z11" s="373">
        <v>0</v>
      </c>
      <c r="AH11" s="374">
        <v>285600</v>
      </c>
      <c r="AI11" s="358"/>
      <c r="AJ11" s="358">
        <v>60000</v>
      </c>
      <c r="AK11" s="358"/>
      <c r="AL11" s="358"/>
      <c r="AM11" s="358"/>
      <c r="AN11" s="358"/>
      <c r="AO11" s="358"/>
      <c r="AP11" s="358"/>
      <c r="AQ11" s="358"/>
      <c r="AR11" s="358"/>
    </row>
    <row r="12" spans="1:44" ht="16.5" thickBot="1">
      <c r="A12" s="692" t="s">
        <v>368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5" t="s">
        <v>344</v>
      </c>
      <c r="U12" s="696"/>
      <c r="V12" s="375" t="s">
        <v>369</v>
      </c>
      <c r="W12" s="371"/>
      <c r="X12" s="372">
        <v>250000</v>
      </c>
      <c r="Y12" s="372">
        <f>SUM(Z12:AR12)</f>
        <v>250000</v>
      </c>
      <c r="Z12" s="373"/>
      <c r="AD12" s="358">
        <v>40000</v>
      </c>
      <c r="AH12" s="374">
        <v>160000</v>
      </c>
      <c r="AI12" s="358"/>
      <c r="AJ12" s="358">
        <v>0</v>
      </c>
      <c r="AK12" s="358">
        <v>50000</v>
      </c>
      <c r="AL12" s="358"/>
      <c r="AM12" s="358"/>
      <c r="AN12" s="358">
        <v>0</v>
      </c>
      <c r="AO12" s="358"/>
      <c r="AP12" s="358"/>
      <c r="AQ12" s="358"/>
      <c r="AR12" s="358"/>
    </row>
    <row r="13" spans="1:44" ht="16.5" thickBot="1">
      <c r="A13" s="707" t="s">
        <v>370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9"/>
      <c r="T13" s="695" t="s">
        <v>345</v>
      </c>
      <c r="U13" s="696"/>
      <c r="V13" s="375"/>
      <c r="W13" s="371"/>
      <c r="X13" s="376">
        <f>X11+X12</f>
        <v>595600</v>
      </c>
      <c r="Y13" s="376">
        <f>Y11+Y12</f>
        <v>595600</v>
      </c>
      <c r="Z13" s="373">
        <f aca="true" t="shared" si="1" ref="Z13:AQ13">Z11+Z12</f>
        <v>0</v>
      </c>
      <c r="AA13" s="373">
        <f t="shared" si="1"/>
        <v>0</v>
      </c>
      <c r="AB13" s="373">
        <f t="shared" si="1"/>
        <v>0</v>
      </c>
      <c r="AC13" s="373">
        <f t="shared" si="1"/>
        <v>0</v>
      </c>
      <c r="AD13" s="373">
        <f t="shared" si="1"/>
        <v>40000</v>
      </c>
      <c r="AE13" s="373">
        <f t="shared" si="1"/>
        <v>0</v>
      </c>
      <c r="AF13" s="373">
        <f t="shared" si="1"/>
        <v>0</v>
      </c>
      <c r="AG13" s="373">
        <f t="shared" si="1"/>
        <v>0</v>
      </c>
      <c r="AH13" s="377">
        <f t="shared" si="1"/>
        <v>445600</v>
      </c>
      <c r="AI13" s="373">
        <f t="shared" si="1"/>
        <v>0</v>
      </c>
      <c r="AJ13" s="373">
        <f t="shared" si="1"/>
        <v>60000</v>
      </c>
      <c r="AK13" s="373">
        <f t="shared" si="1"/>
        <v>50000</v>
      </c>
      <c r="AL13" s="373">
        <f t="shared" si="1"/>
        <v>0</v>
      </c>
      <c r="AM13" s="373"/>
      <c r="AN13" s="373">
        <f t="shared" si="1"/>
        <v>0</v>
      </c>
      <c r="AO13" s="373">
        <f t="shared" si="1"/>
        <v>0</v>
      </c>
      <c r="AP13" s="373">
        <f t="shared" si="1"/>
        <v>0</v>
      </c>
      <c r="AQ13" s="373">
        <f t="shared" si="1"/>
        <v>0</v>
      </c>
      <c r="AR13" s="373">
        <f>AR11+AR12</f>
        <v>0</v>
      </c>
    </row>
    <row r="14" spans="1:44" ht="15.75">
      <c r="A14" s="692" t="s">
        <v>371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5" t="s">
        <v>346</v>
      </c>
      <c r="U14" s="696"/>
      <c r="V14" s="375" t="s">
        <v>372</v>
      </c>
      <c r="W14" s="371"/>
      <c r="X14" s="372">
        <v>2000000</v>
      </c>
      <c r="Y14" s="372">
        <f aca="true" t="shared" si="2" ref="Y14:Y21">SUM(Z14:AR14)</f>
        <v>2000000</v>
      </c>
      <c r="Z14" s="373"/>
      <c r="AH14" s="374">
        <v>240000</v>
      </c>
      <c r="AI14" s="358">
        <v>1300000</v>
      </c>
      <c r="AJ14" s="358">
        <v>10000</v>
      </c>
      <c r="AK14" s="358">
        <v>180000</v>
      </c>
      <c r="AL14" s="358"/>
      <c r="AM14" s="358"/>
      <c r="AN14" s="358"/>
      <c r="AO14" s="358">
        <v>250000</v>
      </c>
      <c r="AP14" s="358"/>
      <c r="AQ14" s="358">
        <v>20000</v>
      </c>
      <c r="AR14" s="358"/>
    </row>
    <row r="15" spans="1:44" ht="15.75">
      <c r="A15" s="692" t="s">
        <v>373</v>
      </c>
      <c r="B15" s="693"/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5" t="s">
        <v>347</v>
      </c>
      <c r="U15" s="696"/>
      <c r="V15" s="375" t="s">
        <v>374</v>
      </c>
      <c r="W15" s="371" t="s">
        <v>375</v>
      </c>
      <c r="X15" s="372">
        <v>2000000</v>
      </c>
      <c r="Y15" s="372">
        <f t="shared" si="2"/>
        <v>2385515</v>
      </c>
      <c r="Z15" s="373"/>
      <c r="AE15" s="358">
        <f>1800000+385515</f>
        <v>2185515</v>
      </c>
      <c r="AF15" s="358">
        <v>60000</v>
      </c>
      <c r="AH15" s="374"/>
      <c r="AI15" s="358"/>
      <c r="AJ15" s="358"/>
      <c r="AK15" s="358"/>
      <c r="AL15" s="358"/>
      <c r="AM15" s="358"/>
      <c r="AN15" s="358"/>
      <c r="AO15" s="358">
        <v>140000</v>
      </c>
      <c r="AP15" s="358"/>
      <c r="AQ15" s="358"/>
      <c r="AR15" s="358"/>
    </row>
    <row r="16" spans="1:44" ht="15.75">
      <c r="A16" s="692" t="s">
        <v>376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5" t="s">
        <v>348</v>
      </c>
      <c r="U16" s="696"/>
      <c r="V16" s="375" t="s">
        <v>377</v>
      </c>
      <c r="W16" s="371"/>
      <c r="X16" s="372">
        <v>40000</v>
      </c>
      <c r="Y16" s="372">
        <f t="shared" si="2"/>
        <v>167248</v>
      </c>
      <c r="Z16" s="373"/>
      <c r="AB16" s="358">
        <v>0</v>
      </c>
      <c r="AH16" s="374">
        <v>50000</v>
      </c>
      <c r="AI16" s="358"/>
      <c r="AJ16" s="358">
        <v>117248</v>
      </c>
      <c r="AK16" s="358">
        <v>0</v>
      </c>
      <c r="AL16" s="358"/>
      <c r="AM16" s="358"/>
      <c r="AN16" s="358">
        <v>0</v>
      </c>
      <c r="AO16" s="358"/>
      <c r="AP16" s="358"/>
      <c r="AQ16" s="358">
        <v>0</v>
      </c>
      <c r="AR16" s="358">
        <v>0</v>
      </c>
    </row>
    <row r="17" spans="1:44" ht="15.75">
      <c r="A17" s="710" t="s">
        <v>378</v>
      </c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2"/>
      <c r="T17" s="695" t="s">
        <v>349</v>
      </c>
      <c r="U17" s="696"/>
      <c r="V17" s="375"/>
      <c r="W17" s="371" t="s">
        <v>379</v>
      </c>
      <c r="X17" s="372">
        <v>0</v>
      </c>
      <c r="Y17" s="372">
        <f t="shared" si="2"/>
        <v>0</v>
      </c>
      <c r="Z17" s="373"/>
      <c r="AH17" s="374"/>
      <c r="AI17" s="358"/>
      <c r="AJ17" s="358" t="s">
        <v>585</v>
      </c>
      <c r="AK17" s="358">
        <v>0</v>
      </c>
      <c r="AL17" s="358"/>
      <c r="AM17" s="358"/>
      <c r="AN17" s="358"/>
      <c r="AO17" s="358"/>
      <c r="AP17" s="358"/>
      <c r="AQ17" s="358"/>
      <c r="AR17" s="358"/>
    </row>
    <row r="18" spans="1:44" ht="15.75">
      <c r="A18" s="692" t="s">
        <v>380</v>
      </c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5" t="s">
        <v>350</v>
      </c>
      <c r="U18" s="696"/>
      <c r="V18" s="375" t="s">
        <v>381</v>
      </c>
      <c r="W18" s="371"/>
      <c r="X18" s="372">
        <v>1000000</v>
      </c>
      <c r="Y18" s="372">
        <f t="shared" si="2"/>
        <v>1000000</v>
      </c>
      <c r="Z18" s="373">
        <v>10000</v>
      </c>
      <c r="AD18" s="358">
        <v>600000</v>
      </c>
      <c r="AH18" s="374">
        <v>35000</v>
      </c>
      <c r="AI18" s="358">
        <v>150000</v>
      </c>
      <c r="AJ18" s="358">
        <v>205000</v>
      </c>
      <c r="AK18" s="358">
        <v>0</v>
      </c>
      <c r="AL18" s="358"/>
      <c r="AM18" s="358"/>
      <c r="AN18" s="358"/>
      <c r="AO18" s="358">
        <v>0</v>
      </c>
      <c r="AP18" s="358"/>
      <c r="AQ18" s="358"/>
      <c r="AR18" s="358"/>
    </row>
    <row r="19" spans="1:44" ht="15.75">
      <c r="A19" s="692" t="s">
        <v>382</v>
      </c>
      <c r="B19" s="693"/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5" t="s">
        <v>351</v>
      </c>
      <c r="U19" s="696"/>
      <c r="V19" s="375" t="s">
        <v>383</v>
      </c>
      <c r="W19" s="371" t="s">
        <v>384</v>
      </c>
      <c r="X19" s="372">
        <f>SUM(Z19:AQ19)</f>
        <v>0</v>
      </c>
      <c r="Y19" s="372">
        <f t="shared" si="2"/>
        <v>0</v>
      </c>
      <c r="Z19" s="373"/>
      <c r="AH19" s="374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</row>
    <row r="20" spans="1:44" ht="15.75">
      <c r="A20" s="710" t="s">
        <v>385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2"/>
      <c r="T20" s="695" t="s">
        <v>386</v>
      </c>
      <c r="U20" s="696"/>
      <c r="V20" s="375"/>
      <c r="W20" s="371" t="s">
        <v>363</v>
      </c>
      <c r="X20" s="372">
        <v>0</v>
      </c>
      <c r="Y20" s="372">
        <f t="shared" si="2"/>
        <v>0</v>
      </c>
      <c r="Z20" s="373"/>
      <c r="AH20" s="374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</row>
    <row r="21" spans="1:44" ht="12.75">
      <c r="A21" s="636" t="s">
        <v>387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4"/>
      <c r="T21" s="579" t="s">
        <v>388</v>
      </c>
      <c r="U21" s="713"/>
      <c r="V21" s="378" t="s">
        <v>389</v>
      </c>
      <c r="W21" s="379"/>
      <c r="X21" s="372">
        <v>750000</v>
      </c>
      <c r="Y21" s="372">
        <f t="shared" si="2"/>
        <v>2210000</v>
      </c>
      <c r="Z21" s="380"/>
      <c r="AA21" s="358"/>
      <c r="AB21" s="358">
        <v>0</v>
      </c>
      <c r="AD21" s="358">
        <v>0</v>
      </c>
      <c r="AH21" s="374">
        <f>43720+400000</f>
        <v>443720</v>
      </c>
      <c r="AI21" s="358"/>
      <c r="AJ21" s="358">
        <v>985000</v>
      </c>
      <c r="AK21" s="358">
        <v>0</v>
      </c>
      <c r="AL21" s="358">
        <v>286240</v>
      </c>
      <c r="AM21" s="358">
        <v>20040</v>
      </c>
      <c r="AN21" s="358">
        <v>0</v>
      </c>
      <c r="AO21" s="358">
        <v>225000</v>
      </c>
      <c r="AP21" s="358">
        <v>0</v>
      </c>
      <c r="AQ21" s="358">
        <f>250000</f>
        <v>250000</v>
      </c>
      <c r="AR21" s="358"/>
    </row>
    <row r="22" spans="1:45" ht="16.5" thickBot="1">
      <c r="A22" s="692" t="s">
        <v>390</v>
      </c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5" t="s">
        <v>391</v>
      </c>
      <c r="U22" s="696"/>
      <c r="V22" s="375" t="s">
        <v>392</v>
      </c>
      <c r="W22" s="371" t="s">
        <v>393</v>
      </c>
      <c r="X22" s="372">
        <v>6939816</v>
      </c>
      <c r="Y22" s="372">
        <f>SUM(Z22:AS22)</f>
        <v>14853865</v>
      </c>
      <c r="Z22" s="373">
        <v>0</v>
      </c>
      <c r="AA22" s="357">
        <f>2030084+50000</f>
        <v>2080084</v>
      </c>
      <c r="AB22" s="358">
        <f>150000+50000-50000</f>
        <v>150000</v>
      </c>
      <c r="AD22" s="358">
        <v>0</v>
      </c>
      <c r="AG22" s="358">
        <f>3308542+1781308+259180</f>
        <v>5349030</v>
      </c>
      <c r="AH22" s="374">
        <f>500000+50000+25000+6600+8350+16600</f>
        <v>606550</v>
      </c>
      <c r="AI22" s="358">
        <v>0</v>
      </c>
      <c r="AJ22" s="358">
        <f>90000+240000</f>
        <v>330000</v>
      </c>
      <c r="AK22" s="358">
        <v>50000</v>
      </c>
      <c r="AL22" s="358"/>
      <c r="AM22" s="358"/>
      <c r="AN22" s="358">
        <v>0</v>
      </c>
      <c r="AO22" s="358">
        <f>50000+339240+44000</f>
        <v>433240</v>
      </c>
      <c r="AP22" s="358">
        <v>0</v>
      </c>
      <c r="AQ22" s="358">
        <f>1051200+1226400</f>
        <v>2277600</v>
      </c>
      <c r="AR22" s="358">
        <v>2500000</v>
      </c>
      <c r="AS22" s="358">
        <v>1077361</v>
      </c>
    </row>
    <row r="23" spans="1:45" ht="16.5" thickBot="1">
      <c r="A23" s="707" t="s">
        <v>394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9"/>
      <c r="T23" s="695" t="s">
        <v>395</v>
      </c>
      <c r="U23" s="696"/>
      <c r="V23" s="375"/>
      <c r="W23" s="371"/>
      <c r="X23" s="376">
        <f>X14+X15+X16+X18+X19+X21+X22</f>
        <v>12729816</v>
      </c>
      <c r="Y23" s="376">
        <f>Y14+Y15+Y16+Y18+Y19+Y21+Y22</f>
        <v>22616628</v>
      </c>
      <c r="Z23" s="373">
        <f aca="true" t="shared" si="3" ref="Z23:AQ23">Z14+Z15+Z16+Z18+Z19+Z21+Z22</f>
        <v>10000</v>
      </c>
      <c r="AA23" s="373">
        <f t="shared" si="3"/>
        <v>2080084</v>
      </c>
      <c r="AB23" s="373">
        <f t="shared" si="3"/>
        <v>150000</v>
      </c>
      <c r="AC23" s="373">
        <f t="shared" si="3"/>
        <v>0</v>
      </c>
      <c r="AD23" s="373">
        <f t="shared" si="3"/>
        <v>600000</v>
      </c>
      <c r="AE23" s="373">
        <f t="shared" si="3"/>
        <v>2185515</v>
      </c>
      <c r="AF23" s="373">
        <f t="shared" si="3"/>
        <v>60000</v>
      </c>
      <c r="AG23" s="373">
        <f t="shared" si="3"/>
        <v>5349030</v>
      </c>
      <c r="AH23" s="377">
        <f t="shared" si="3"/>
        <v>1375270</v>
      </c>
      <c r="AI23" s="373">
        <f>AI10+AI14+AI13+AI18+AI21+AI22+AI16</f>
        <v>1450000</v>
      </c>
      <c r="AJ23" s="373">
        <f t="shared" si="3"/>
        <v>1647248</v>
      </c>
      <c r="AK23" s="373">
        <f t="shared" si="3"/>
        <v>230000</v>
      </c>
      <c r="AL23" s="373">
        <f t="shared" si="3"/>
        <v>286240</v>
      </c>
      <c r="AM23" s="373">
        <f t="shared" si="3"/>
        <v>20040</v>
      </c>
      <c r="AN23" s="373">
        <f t="shared" si="3"/>
        <v>0</v>
      </c>
      <c r="AO23" s="373">
        <f t="shared" si="3"/>
        <v>1048240</v>
      </c>
      <c r="AP23" s="373">
        <f t="shared" si="3"/>
        <v>0</v>
      </c>
      <c r="AQ23" s="373">
        <f t="shared" si="3"/>
        <v>2547600</v>
      </c>
      <c r="AR23" s="373">
        <f>AR14+AR15+AR16+AR18+AR19+AR21+AR22</f>
        <v>2500000</v>
      </c>
      <c r="AS23" s="373">
        <f>AS14+AS15+AS16+AS18+AS19+AS21+AS22</f>
        <v>1077361</v>
      </c>
    </row>
    <row r="24" spans="1:44" ht="15.75">
      <c r="A24" s="692" t="s">
        <v>396</v>
      </c>
      <c r="B24" s="693"/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4"/>
      <c r="T24" s="695" t="s">
        <v>397</v>
      </c>
      <c r="U24" s="696"/>
      <c r="V24" s="375" t="s">
        <v>398</v>
      </c>
      <c r="W24" s="371"/>
      <c r="X24" s="372">
        <v>50000</v>
      </c>
      <c r="Y24" s="372">
        <f>SUM(Z24:AR24)</f>
        <v>50000</v>
      </c>
      <c r="Z24" s="373"/>
      <c r="AH24" s="374">
        <v>0</v>
      </c>
      <c r="AI24" s="358"/>
      <c r="AJ24" s="358">
        <v>50000</v>
      </c>
      <c r="AK24" s="358"/>
      <c r="AL24" s="358"/>
      <c r="AM24" s="358"/>
      <c r="AN24" s="358"/>
      <c r="AO24" s="358"/>
      <c r="AP24" s="358"/>
      <c r="AQ24" s="358"/>
      <c r="AR24" s="358"/>
    </row>
    <row r="25" spans="1:44" ht="16.5" thickBot="1">
      <c r="A25" s="636" t="s">
        <v>399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4"/>
      <c r="T25" s="695" t="s">
        <v>400</v>
      </c>
      <c r="U25" s="696"/>
      <c r="V25" s="378" t="s">
        <v>401</v>
      </c>
      <c r="W25" s="371"/>
      <c r="X25" s="372">
        <v>268000</v>
      </c>
      <c r="Y25" s="372">
        <f>SUM(Z25:AR25)</f>
        <v>700860</v>
      </c>
      <c r="Z25" s="373"/>
      <c r="AH25" s="374">
        <v>0</v>
      </c>
      <c r="AI25" s="358"/>
      <c r="AJ25" s="358">
        <f>268000+35000</f>
        <v>303000</v>
      </c>
      <c r="AK25" s="358"/>
      <c r="AL25" s="358"/>
      <c r="AM25" s="358"/>
      <c r="AN25" s="358">
        <v>0</v>
      </c>
      <c r="AO25" s="358"/>
      <c r="AP25" s="358"/>
      <c r="AQ25" s="358"/>
      <c r="AR25" s="358">
        <v>397860</v>
      </c>
    </row>
    <row r="26" spans="1:45" ht="16.5" thickBot="1">
      <c r="A26" s="707" t="s">
        <v>402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9"/>
      <c r="T26" s="695" t="s">
        <v>403</v>
      </c>
      <c r="U26" s="696"/>
      <c r="V26" s="375"/>
      <c r="W26" s="371" t="s">
        <v>404</v>
      </c>
      <c r="X26" s="376">
        <f>X24+X25</f>
        <v>318000</v>
      </c>
      <c r="Y26" s="376">
        <f>Y24+Y25</f>
        <v>750860</v>
      </c>
      <c r="Z26" s="373">
        <f aca="true" t="shared" si="4" ref="Z26:AQ26">Z24+Z25</f>
        <v>0</v>
      </c>
      <c r="AA26" s="373">
        <f t="shared" si="4"/>
        <v>0</v>
      </c>
      <c r="AB26" s="373">
        <f t="shared" si="4"/>
        <v>0</v>
      </c>
      <c r="AC26" s="373">
        <f t="shared" si="4"/>
        <v>0</v>
      </c>
      <c r="AD26" s="373">
        <f t="shared" si="4"/>
        <v>0</v>
      </c>
      <c r="AE26" s="373">
        <f t="shared" si="4"/>
        <v>0</v>
      </c>
      <c r="AF26" s="373">
        <f t="shared" si="4"/>
        <v>0</v>
      </c>
      <c r="AG26" s="373">
        <f t="shared" si="4"/>
        <v>0</v>
      </c>
      <c r="AH26" s="377">
        <f t="shared" si="4"/>
        <v>0</v>
      </c>
      <c r="AI26" s="373">
        <f t="shared" si="4"/>
        <v>0</v>
      </c>
      <c r="AJ26" s="373">
        <f>260000+AJ24</f>
        <v>310000</v>
      </c>
      <c r="AK26" s="373">
        <f t="shared" si="4"/>
        <v>0</v>
      </c>
      <c r="AL26" s="373">
        <f t="shared" si="4"/>
        <v>0</v>
      </c>
      <c r="AM26" s="373"/>
      <c r="AN26" s="373">
        <f t="shared" si="4"/>
        <v>0</v>
      </c>
      <c r="AO26" s="373">
        <f t="shared" si="4"/>
        <v>0</v>
      </c>
      <c r="AP26" s="373">
        <f t="shared" si="4"/>
        <v>0</v>
      </c>
      <c r="AQ26" s="373">
        <f t="shared" si="4"/>
        <v>0</v>
      </c>
      <c r="AR26" s="373">
        <f>AR24+AR25</f>
        <v>397860</v>
      </c>
      <c r="AS26" s="373">
        <f>AS24+AS25</f>
        <v>0</v>
      </c>
    </row>
    <row r="27" spans="1:45" ht="15.75">
      <c r="A27" s="692" t="s">
        <v>405</v>
      </c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4"/>
      <c r="T27" s="695" t="s">
        <v>406</v>
      </c>
      <c r="U27" s="696"/>
      <c r="V27" s="375" t="s">
        <v>407</v>
      </c>
      <c r="W27" s="371" t="s">
        <v>408</v>
      </c>
      <c r="X27" s="372">
        <v>3016829</v>
      </c>
      <c r="Y27" s="372">
        <f aca="true" t="shared" si="5" ref="Y27:Y36">SUM(Z27:AR27)</f>
        <v>3733842</v>
      </c>
      <c r="Z27" s="373">
        <v>2700</v>
      </c>
      <c r="AA27" s="357">
        <f>548123+103475</f>
        <v>651598</v>
      </c>
      <c r="AB27" s="358">
        <f>40500+13500+40500+13500-13500</f>
        <v>94500</v>
      </c>
      <c r="AD27" s="358">
        <v>418500</v>
      </c>
      <c r="AE27" s="358">
        <f>486000+131512</f>
        <v>617512</v>
      </c>
      <c r="AF27" s="358">
        <v>16000</v>
      </c>
      <c r="AG27" s="358">
        <f>118223+69979</f>
        <v>188202</v>
      </c>
      <c r="AH27" s="374">
        <f>388633+108000+13500+13500</f>
        <v>523633</v>
      </c>
      <c r="AI27" s="358">
        <v>392000</v>
      </c>
      <c r="AJ27" s="358">
        <f>333450+64800+9450</f>
        <v>407700</v>
      </c>
      <c r="AK27" s="358">
        <f>67500+13500</f>
        <v>81000</v>
      </c>
      <c r="AL27" s="358"/>
      <c r="AM27" s="358"/>
      <c r="AN27" s="358">
        <v>0</v>
      </c>
      <c r="AO27" s="358">
        <f>105300+13500+91595+11880</f>
        <v>222275</v>
      </c>
      <c r="AP27" s="358"/>
      <c r="AQ27" s="358">
        <v>5400</v>
      </c>
      <c r="AR27" s="358">
        <f>5400+107422</f>
        <v>112822</v>
      </c>
      <c r="AS27" s="358">
        <v>290887</v>
      </c>
    </row>
    <row r="28" spans="1:44" ht="15.75">
      <c r="A28" s="714" t="s">
        <v>409</v>
      </c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6"/>
      <c r="T28" s="695" t="s">
        <v>410</v>
      </c>
      <c r="U28" s="696"/>
      <c r="V28" s="378" t="s">
        <v>411</v>
      </c>
      <c r="W28" s="371"/>
      <c r="X28" s="372">
        <v>0</v>
      </c>
      <c r="Y28" s="372">
        <f t="shared" si="5"/>
        <v>0</v>
      </c>
      <c r="Z28" s="373"/>
      <c r="AH28" s="374">
        <v>0</v>
      </c>
      <c r="AI28" s="358">
        <v>0</v>
      </c>
      <c r="AJ28" s="358"/>
      <c r="AK28" s="358"/>
      <c r="AL28" s="358"/>
      <c r="AM28" s="358"/>
      <c r="AN28" s="358"/>
      <c r="AO28" s="358"/>
      <c r="AP28" s="358"/>
      <c r="AQ28" s="358"/>
      <c r="AR28" s="358"/>
    </row>
    <row r="29" spans="1:45" ht="15.75">
      <c r="A29" s="707" t="s">
        <v>412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9"/>
      <c r="T29" s="695" t="s">
        <v>413</v>
      </c>
      <c r="U29" s="696"/>
      <c r="V29" s="375" t="s">
        <v>414</v>
      </c>
      <c r="W29" s="371"/>
      <c r="X29" s="372">
        <v>0</v>
      </c>
      <c r="Y29" s="372">
        <f t="shared" si="5"/>
        <v>0</v>
      </c>
      <c r="Z29" s="373">
        <f aca="true" t="shared" si="6" ref="Z29:AQ29">Z31+Z30</f>
        <v>0</v>
      </c>
      <c r="AA29" s="373">
        <f t="shared" si="6"/>
        <v>0</v>
      </c>
      <c r="AB29" s="373">
        <f t="shared" si="6"/>
        <v>0</v>
      </c>
      <c r="AC29" s="373">
        <f t="shared" si="6"/>
        <v>0</v>
      </c>
      <c r="AD29" s="373">
        <f t="shared" si="6"/>
        <v>0</v>
      </c>
      <c r="AE29" s="373">
        <f t="shared" si="6"/>
        <v>0</v>
      </c>
      <c r="AF29" s="373">
        <f t="shared" si="6"/>
        <v>0</v>
      </c>
      <c r="AG29" s="373">
        <f t="shared" si="6"/>
        <v>0</v>
      </c>
      <c r="AH29" s="377">
        <f t="shared" si="6"/>
        <v>0</v>
      </c>
      <c r="AI29" s="373">
        <f t="shared" si="6"/>
        <v>0</v>
      </c>
      <c r="AJ29" s="373">
        <f t="shared" si="6"/>
        <v>0</v>
      </c>
      <c r="AK29" s="373">
        <f t="shared" si="6"/>
        <v>0</v>
      </c>
      <c r="AL29" s="373">
        <f t="shared" si="6"/>
        <v>0</v>
      </c>
      <c r="AM29" s="373"/>
      <c r="AN29" s="373">
        <f t="shared" si="6"/>
        <v>0</v>
      </c>
      <c r="AO29" s="373">
        <f t="shared" si="6"/>
        <v>0</v>
      </c>
      <c r="AP29" s="373">
        <f t="shared" si="6"/>
        <v>0</v>
      </c>
      <c r="AQ29" s="373">
        <f t="shared" si="6"/>
        <v>0</v>
      </c>
      <c r="AR29" s="373">
        <f>AR31+AR30</f>
        <v>0</v>
      </c>
      <c r="AS29" s="373">
        <f>AS31+AS30</f>
        <v>0</v>
      </c>
    </row>
    <row r="30" spans="1:44" ht="15.75">
      <c r="A30" s="710" t="s">
        <v>415</v>
      </c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2"/>
      <c r="T30" s="695" t="s">
        <v>416</v>
      </c>
      <c r="U30" s="696"/>
      <c r="V30" s="375" t="s">
        <v>414</v>
      </c>
      <c r="W30" s="371" t="s">
        <v>417</v>
      </c>
      <c r="X30" s="372">
        <v>0</v>
      </c>
      <c r="Y30" s="372">
        <f t="shared" si="5"/>
        <v>0</v>
      </c>
      <c r="Z30" s="373"/>
      <c r="AH30" s="374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</row>
    <row r="31" spans="1:44" ht="15.75">
      <c r="A31" s="710" t="s">
        <v>418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2"/>
      <c r="T31" s="695" t="s">
        <v>419</v>
      </c>
      <c r="U31" s="696"/>
      <c r="V31" s="375" t="s">
        <v>414</v>
      </c>
      <c r="W31" s="371" t="s">
        <v>420</v>
      </c>
      <c r="X31" s="372">
        <v>0</v>
      </c>
      <c r="Y31" s="372">
        <f t="shared" si="5"/>
        <v>0</v>
      </c>
      <c r="Z31" s="373"/>
      <c r="AH31" s="374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</row>
    <row r="32" spans="1:45" ht="15.75">
      <c r="A32" s="707" t="s">
        <v>421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9"/>
      <c r="T32" s="695" t="s">
        <v>422</v>
      </c>
      <c r="U32" s="696"/>
      <c r="V32" s="375" t="s">
        <v>423</v>
      </c>
      <c r="W32" s="371"/>
      <c r="X32" s="372">
        <v>0</v>
      </c>
      <c r="Y32" s="372">
        <f t="shared" si="5"/>
        <v>0</v>
      </c>
      <c r="Z32" s="373">
        <f aca="true" t="shared" si="7" ref="Z32:AQ32">Z35+Z34+Z33</f>
        <v>0</v>
      </c>
      <c r="AA32" s="373">
        <f t="shared" si="7"/>
        <v>0</v>
      </c>
      <c r="AB32" s="373">
        <f t="shared" si="7"/>
        <v>0</v>
      </c>
      <c r="AC32" s="373">
        <f t="shared" si="7"/>
        <v>0</v>
      </c>
      <c r="AD32" s="373">
        <f t="shared" si="7"/>
        <v>0</v>
      </c>
      <c r="AE32" s="373">
        <f t="shared" si="7"/>
        <v>0</v>
      </c>
      <c r="AF32" s="373">
        <f t="shared" si="7"/>
        <v>0</v>
      </c>
      <c r="AG32" s="373">
        <f t="shared" si="7"/>
        <v>0</v>
      </c>
      <c r="AH32" s="377">
        <f t="shared" si="7"/>
        <v>0</v>
      </c>
      <c r="AI32" s="373">
        <f t="shared" si="7"/>
        <v>0</v>
      </c>
      <c r="AJ32" s="373">
        <f t="shared" si="7"/>
        <v>0</v>
      </c>
      <c r="AK32" s="373">
        <f t="shared" si="7"/>
        <v>0</v>
      </c>
      <c r="AL32" s="373">
        <f t="shared" si="7"/>
        <v>0</v>
      </c>
      <c r="AM32" s="373"/>
      <c r="AN32" s="373">
        <f t="shared" si="7"/>
        <v>0</v>
      </c>
      <c r="AO32" s="373">
        <f t="shared" si="7"/>
        <v>0</v>
      </c>
      <c r="AP32" s="373">
        <f t="shared" si="7"/>
        <v>0</v>
      </c>
      <c r="AQ32" s="373">
        <f t="shared" si="7"/>
        <v>0</v>
      </c>
      <c r="AR32" s="373">
        <f>AR35+AR34+AR33</f>
        <v>0</v>
      </c>
      <c r="AS32" s="373">
        <f>AS35+AS34+AS33</f>
        <v>0</v>
      </c>
    </row>
    <row r="33" spans="1:44" ht="15.75">
      <c r="A33" s="710" t="s">
        <v>424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2"/>
      <c r="T33" s="695" t="s">
        <v>425</v>
      </c>
      <c r="U33" s="696"/>
      <c r="V33" s="375" t="s">
        <v>423</v>
      </c>
      <c r="W33" s="371" t="s">
        <v>426</v>
      </c>
      <c r="X33" s="372">
        <v>0</v>
      </c>
      <c r="Y33" s="372">
        <f t="shared" si="5"/>
        <v>0</v>
      </c>
      <c r="Z33" s="373"/>
      <c r="AH33" s="374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</row>
    <row r="34" spans="1:44" ht="15.75">
      <c r="A34" s="710" t="s">
        <v>427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2"/>
      <c r="T34" s="695" t="s">
        <v>428</v>
      </c>
      <c r="U34" s="696"/>
      <c r="V34" s="375" t="s">
        <v>423</v>
      </c>
      <c r="W34" s="371" t="s">
        <v>429</v>
      </c>
      <c r="X34" s="372">
        <v>0</v>
      </c>
      <c r="Y34" s="372">
        <f t="shared" si="5"/>
        <v>0</v>
      </c>
      <c r="Z34" s="373"/>
      <c r="AH34" s="374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</row>
    <row r="35" spans="1:44" ht="15.75">
      <c r="A35" s="710" t="s">
        <v>430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2"/>
      <c r="T35" s="695" t="s">
        <v>431</v>
      </c>
      <c r="U35" s="696"/>
      <c r="V35" s="375" t="s">
        <v>423</v>
      </c>
      <c r="W35" s="371" t="s">
        <v>432</v>
      </c>
      <c r="X35" s="372">
        <v>0</v>
      </c>
      <c r="Y35" s="372">
        <f t="shared" si="5"/>
        <v>0</v>
      </c>
      <c r="Z35" s="373"/>
      <c r="AH35" s="374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</row>
    <row r="36" spans="1:44" ht="15.75">
      <c r="A36" s="692" t="s">
        <v>433</v>
      </c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94"/>
      <c r="T36" s="695" t="s">
        <v>434</v>
      </c>
      <c r="U36" s="696"/>
      <c r="V36" s="375" t="s">
        <v>435</v>
      </c>
      <c r="W36" s="371"/>
      <c r="X36" s="372">
        <v>120000</v>
      </c>
      <c r="Y36" s="372">
        <f t="shared" si="5"/>
        <v>120000</v>
      </c>
      <c r="Z36" s="373"/>
      <c r="AC36" s="358">
        <v>0</v>
      </c>
      <c r="AG36" s="358">
        <v>32000</v>
      </c>
      <c r="AH36" s="374">
        <v>50000</v>
      </c>
      <c r="AI36" s="358"/>
      <c r="AJ36" s="358">
        <v>38000</v>
      </c>
      <c r="AK36" s="358"/>
      <c r="AL36" s="358"/>
      <c r="AM36" s="358"/>
      <c r="AN36" s="358">
        <v>0</v>
      </c>
      <c r="AO36" s="358">
        <v>0</v>
      </c>
      <c r="AP36" s="358"/>
      <c r="AQ36" s="358"/>
      <c r="AR36" s="358"/>
    </row>
    <row r="37" spans="1:45" ht="15.75">
      <c r="A37" s="707" t="s">
        <v>436</v>
      </c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9"/>
      <c r="T37" s="695" t="s">
        <v>437</v>
      </c>
      <c r="U37" s="696"/>
      <c r="V37" s="375"/>
      <c r="W37" s="371"/>
      <c r="X37" s="372">
        <f>X27+X28+X29+X32+X36</f>
        <v>3136829</v>
      </c>
      <c r="Y37" s="372">
        <f>Y27+Y28+Y29+Y32+Y36</f>
        <v>3853842</v>
      </c>
      <c r="Z37" s="373">
        <f aca="true" t="shared" si="8" ref="Z37:AQ37">Z27+Z28+Z29+Z32+Z36</f>
        <v>2700</v>
      </c>
      <c r="AA37" s="373">
        <f t="shared" si="8"/>
        <v>651598</v>
      </c>
      <c r="AB37" s="373">
        <f t="shared" si="8"/>
        <v>94500</v>
      </c>
      <c r="AC37" s="373">
        <f t="shared" si="8"/>
        <v>0</v>
      </c>
      <c r="AD37" s="373">
        <f t="shared" si="8"/>
        <v>418500</v>
      </c>
      <c r="AE37" s="373">
        <f t="shared" si="8"/>
        <v>617512</v>
      </c>
      <c r="AF37" s="373">
        <f t="shared" si="8"/>
        <v>16000</v>
      </c>
      <c r="AG37" s="373">
        <f t="shared" si="8"/>
        <v>220202</v>
      </c>
      <c r="AH37" s="377">
        <f t="shared" si="8"/>
        <v>573633</v>
      </c>
      <c r="AI37" s="373">
        <f t="shared" si="8"/>
        <v>392000</v>
      </c>
      <c r="AJ37" s="373">
        <f t="shared" si="8"/>
        <v>445700</v>
      </c>
      <c r="AK37" s="373">
        <f t="shared" si="8"/>
        <v>81000</v>
      </c>
      <c r="AL37" s="373">
        <f t="shared" si="8"/>
        <v>0</v>
      </c>
      <c r="AM37" s="373"/>
      <c r="AN37" s="373">
        <f t="shared" si="8"/>
        <v>0</v>
      </c>
      <c r="AO37" s="373">
        <f t="shared" si="8"/>
        <v>222275</v>
      </c>
      <c r="AP37" s="373">
        <f t="shared" si="8"/>
        <v>0</v>
      </c>
      <c r="AQ37" s="373">
        <f t="shared" si="8"/>
        <v>5400</v>
      </c>
      <c r="AR37" s="373">
        <f>AR27+AR28+AR29+AR32+AR36</f>
        <v>112822</v>
      </c>
      <c r="AS37" s="373">
        <f>AS27+AS28+AS29+AS32+AS36</f>
        <v>290887</v>
      </c>
    </row>
    <row r="38" spans="1:45" ht="15.75">
      <c r="A38" s="707" t="s">
        <v>438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9"/>
      <c r="T38" s="695" t="s">
        <v>439</v>
      </c>
      <c r="U38" s="696"/>
      <c r="V38" s="375"/>
      <c r="W38" s="371"/>
      <c r="X38" s="372">
        <f>X37+X26+X23+X13+X10</f>
        <v>19642520</v>
      </c>
      <c r="Y38" s="372">
        <f>Y37+Y26+Y23+Y13+Y10</f>
        <v>30561957</v>
      </c>
      <c r="Z38" s="373">
        <f>Z10+Z13+Z23+Z26+Z37</f>
        <v>12700</v>
      </c>
      <c r="AA38" s="373">
        <f aca="true" t="shared" si="9" ref="AA38:AS38">AA10+AA13+AA23+AA26+AA37</f>
        <v>2731682</v>
      </c>
      <c r="AB38" s="373">
        <f t="shared" si="9"/>
        <v>244500</v>
      </c>
      <c r="AC38" s="373">
        <f t="shared" si="9"/>
        <v>0</v>
      </c>
      <c r="AD38" s="373">
        <f t="shared" si="9"/>
        <v>2068500</v>
      </c>
      <c r="AE38" s="373">
        <f t="shared" si="9"/>
        <v>2803027</v>
      </c>
      <c r="AF38" s="373">
        <f t="shared" si="9"/>
        <v>76000</v>
      </c>
      <c r="AG38" s="373">
        <f t="shared" si="9"/>
        <v>6269232</v>
      </c>
      <c r="AH38" s="373">
        <f t="shared" si="9"/>
        <v>2806778</v>
      </c>
      <c r="AI38" s="373">
        <f t="shared" si="9"/>
        <v>1842000</v>
      </c>
      <c r="AJ38" s="373">
        <f t="shared" si="9"/>
        <v>3045700</v>
      </c>
      <c r="AK38" s="373">
        <f t="shared" si="9"/>
        <v>401000</v>
      </c>
      <c r="AL38" s="373">
        <f t="shared" si="9"/>
        <v>286240</v>
      </c>
      <c r="AM38" s="373">
        <f t="shared" si="9"/>
        <v>20040</v>
      </c>
      <c r="AN38" s="373">
        <f t="shared" si="9"/>
        <v>0</v>
      </c>
      <c r="AO38" s="373">
        <f t="shared" si="9"/>
        <v>1270515</v>
      </c>
      <c r="AP38" s="373">
        <f t="shared" si="9"/>
        <v>0</v>
      </c>
      <c r="AQ38" s="373">
        <f t="shared" si="9"/>
        <v>2553000</v>
      </c>
      <c r="AR38" s="373">
        <f t="shared" si="9"/>
        <v>3010682</v>
      </c>
      <c r="AS38" s="373">
        <f t="shared" si="9"/>
        <v>1368248</v>
      </c>
    </row>
    <row r="39" spans="24:25" ht="15.75">
      <c r="X39" s="228"/>
      <c r="Y39" s="228"/>
    </row>
  </sheetData>
  <sheetProtection/>
  <mergeCells count="68">
    <mergeCell ref="A36:S36"/>
    <mergeCell ref="T36:U36"/>
    <mergeCell ref="A37:S37"/>
    <mergeCell ref="T37:U37"/>
    <mergeCell ref="A38:S38"/>
    <mergeCell ref="T38:U38"/>
    <mergeCell ref="A33:S33"/>
    <mergeCell ref="T33:U33"/>
    <mergeCell ref="A34:S34"/>
    <mergeCell ref="T34:U34"/>
    <mergeCell ref="A35:S35"/>
    <mergeCell ref="T35:U35"/>
    <mergeCell ref="A30:S30"/>
    <mergeCell ref="T30:U30"/>
    <mergeCell ref="A31:S31"/>
    <mergeCell ref="T31:U31"/>
    <mergeCell ref="A32:S32"/>
    <mergeCell ref="T32:U32"/>
    <mergeCell ref="A27:S27"/>
    <mergeCell ref="T27:U27"/>
    <mergeCell ref="A28:S28"/>
    <mergeCell ref="T28:U28"/>
    <mergeCell ref="A29:S29"/>
    <mergeCell ref="T29:U29"/>
    <mergeCell ref="A24:S24"/>
    <mergeCell ref="T24:U24"/>
    <mergeCell ref="A25:S25"/>
    <mergeCell ref="T25:U25"/>
    <mergeCell ref="A26:S26"/>
    <mergeCell ref="T26:U26"/>
    <mergeCell ref="A21:S21"/>
    <mergeCell ref="T21:U21"/>
    <mergeCell ref="A22:S22"/>
    <mergeCell ref="T22:U22"/>
    <mergeCell ref="A23:S23"/>
    <mergeCell ref="T23:U23"/>
    <mergeCell ref="A18:S18"/>
    <mergeCell ref="T18:U18"/>
    <mergeCell ref="A19:S19"/>
    <mergeCell ref="T19:U19"/>
    <mergeCell ref="A20:S20"/>
    <mergeCell ref="T20:U20"/>
    <mergeCell ref="A15:S15"/>
    <mergeCell ref="T15:U15"/>
    <mergeCell ref="A16:S16"/>
    <mergeCell ref="T16:U16"/>
    <mergeCell ref="A17:S17"/>
    <mergeCell ref="T17:U17"/>
    <mergeCell ref="A12:S12"/>
    <mergeCell ref="T12:U12"/>
    <mergeCell ref="A13:S13"/>
    <mergeCell ref="T13:U13"/>
    <mergeCell ref="A14:S14"/>
    <mergeCell ref="T14:U14"/>
    <mergeCell ref="A9:S9"/>
    <mergeCell ref="T9:U9"/>
    <mergeCell ref="A10:S10"/>
    <mergeCell ref="T10:U10"/>
    <mergeCell ref="A11:S11"/>
    <mergeCell ref="T11:U11"/>
    <mergeCell ref="C1:U1"/>
    <mergeCell ref="C2:U2"/>
    <mergeCell ref="A8:S8"/>
    <mergeCell ref="T8:U8"/>
    <mergeCell ref="A5:S6"/>
    <mergeCell ref="T5:U6"/>
    <mergeCell ref="A7:S7"/>
    <mergeCell ref="T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zoomScale="120" zoomScaleNormal="120" zoomScalePageLayoutView="0" workbookViewId="0" topLeftCell="A49">
      <selection activeCell="I60" sqref="I60"/>
    </sheetView>
  </sheetViews>
  <sheetFormatPr defaultColWidth="9.00390625" defaultRowHeight="12.75"/>
  <cols>
    <col min="5" max="5" width="10.375" style="0" customWidth="1"/>
    <col min="6" max="6" width="17.25390625" style="228" customWidth="1"/>
    <col min="7" max="7" width="9.625" style="228" bestFit="1" customWidth="1"/>
    <col min="8" max="8" width="13.75390625" style="0" bestFit="1" customWidth="1"/>
    <col min="9" max="9" width="14.375" style="0" bestFit="1" customWidth="1"/>
    <col min="10" max="10" width="9.75390625" style="381" bestFit="1" customWidth="1"/>
    <col min="11" max="11" width="17.875" style="381" bestFit="1" customWidth="1"/>
    <col min="12" max="13" width="9.125" style="381" customWidth="1"/>
    <col min="251" max="251" width="10.375" style="0" customWidth="1"/>
    <col min="252" max="252" width="9.875" style="0" bestFit="1" customWidth="1"/>
    <col min="254" max="255" width="13.75390625" style="0" bestFit="1" customWidth="1"/>
  </cols>
  <sheetData>
    <row r="1" spans="1:8" ht="15">
      <c r="A1" s="723" t="s">
        <v>569</v>
      </c>
      <c r="B1" s="723"/>
      <c r="C1" s="723"/>
      <c r="D1" s="723"/>
      <c r="E1" s="723"/>
      <c r="F1" s="723"/>
      <c r="G1" s="723"/>
      <c r="H1" s="723"/>
    </row>
    <row r="2" spans="1:11" ht="15.75" thickBot="1">
      <c r="A2" s="399"/>
      <c r="B2" s="399"/>
      <c r="C2" s="723" t="s">
        <v>597</v>
      </c>
      <c r="D2" s="723"/>
      <c r="E2" s="723"/>
      <c r="F2" s="723"/>
      <c r="G2" s="399"/>
      <c r="H2" s="399"/>
      <c r="K2" s="400" t="s">
        <v>582</v>
      </c>
    </row>
    <row r="3" spans="1:11" ht="27" thickBot="1">
      <c r="A3" s="399"/>
      <c r="B3" s="399"/>
      <c r="C3" s="399"/>
      <c r="D3" s="399"/>
      <c r="E3" s="399"/>
      <c r="F3" s="399"/>
      <c r="G3" s="399"/>
      <c r="H3" s="401" t="s">
        <v>552</v>
      </c>
      <c r="I3" s="399"/>
      <c r="J3" s="399"/>
      <c r="K3" s="401" t="s">
        <v>553</v>
      </c>
    </row>
    <row r="4" spans="8:11" ht="15.75" thickBot="1">
      <c r="H4" s="402" t="s">
        <v>520</v>
      </c>
      <c r="I4" s="228"/>
      <c r="J4" s="228"/>
      <c r="K4" s="402" t="s">
        <v>520</v>
      </c>
    </row>
    <row r="5" spans="1:13" s="225" customFormat="1" ht="15.75" thickBot="1">
      <c r="A5" s="720" t="s">
        <v>171</v>
      </c>
      <c r="B5" s="721"/>
      <c r="C5" s="721"/>
      <c r="D5" s="721"/>
      <c r="E5" s="722"/>
      <c r="F5" s="224" t="s">
        <v>258</v>
      </c>
      <c r="G5" s="224" t="s">
        <v>236</v>
      </c>
      <c r="H5" s="226" t="s">
        <v>254</v>
      </c>
      <c r="I5" s="224" t="s">
        <v>258</v>
      </c>
      <c r="J5" s="224" t="s">
        <v>236</v>
      </c>
      <c r="K5" s="226" t="s">
        <v>254</v>
      </c>
      <c r="L5" s="382"/>
      <c r="M5" s="382"/>
    </row>
    <row r="6" spans="1:11" ht="15.75" thickBot="1">
      <c r="A6" s="736" t="s">
        <v>259</v>
      </c>
      <c r="B6" s="737"/>
      <c r="C6" s="737"/>
      <c r="D6" s="737"/>
      <c r="E6" s="738"/>
      <c r="F6" s="227">
        <v>52000</v>
      </c>
      <c r="G6" s="227">
        <f>F6*5%</f>
        <v>2600</v>
      </c>
      <c r="H6" s="227">
        <f>F6+G6</f>
        <v>54600</v>
      </c>
      <c r="I6" s="227">
        <v>52000</v>
      </c>
      <c r="J6" s="227">
        <f>I6*5%</f>
        <v>2600</v>
      </c>
      <c r="K6" s="227">
        <f>I6+J6</f>
        <v>54600</v>
      </c>
    </row>
    <row r="7" spans="1:11" ht="15.75" thickBot="1">
      <c r="A7" s="730" t="s">
        <v>260</v>
      </c>
      <c r="B7" s="751"/>
      <c r="C7" s="751"/>
      <c r="D7" s="751"/>
      <c r="E7" s="752"/>
      <c r="F7" s="227">
        <v>160275</v>
      </c>
      <c r="G7" s="227">
        <f>F7*5%</f>
        <v>8013.75</v>
      </c>
      <c r="H7" s="227">
        <f>F7+G7</f>
        <v>168288.75</v>
      </c>
      <c r="I7" s="227">
        <v>160275</v>
      </c>
      <c r="J7" s="227">
        <f>I7*5%</f>
        <v>8013.75</v>
      </c>
      <c r="K7" s="227">
        <f>I7+J7</f>
        <v>168288.75</v>
      </c>
    </row>
    <row r="8" spans="1:11" ht="15.75" thickBot="1">
      <c r="A8" s="742" t="s">
        <v>261</v>
      </c>
      <c r="B8" s="743"/>
      <c r="C8" s="743"/>
      <c r="D8" s="743"/>
      <c r="E8" s="744"/>
      <c r="F8" s="226">
        <f aca="true" t="shared" si="0" ref="F8:K8">F6+F7</f>
        <v>212275</v>
      </c>
      <c r="G8" s="226">
        <f t="shared" si="0"/>
        <v>10613.75</v>
      </c>
      <c r="H8" s="226">
        <f t="shared" si="0"/>
        <v>222888.75</v>
      </c>
      <c r="I8" s="226">
        <f t="shared" si="0"/>
        <v>212275</v>
      </c>
      <c r="J8" s="226">
        <f t="shared" si="0"/>
        <v>10613.75</v>
      </c>
      <c r="K8" s="226">
        <f t="shared" si="0"/>
        <v>222888.75</v>
      </c>
    </row>
    <row r="9" spans="1:11" ht="15.75" thickBot="1">
      <c r="A9" s="745" t="s">
        <v>262</v>
      </c>
      <c r="B9" s="746"/>
      <c r="C9" s="746"/>
      <c r="D9" s="746"/>
      <c r="E9" s="747"/>
      <c r="F9" s="227">
        <v>30000</v>
      </c>
      <c r="G9" s="227">
        <f>F9*0.27</f>
        <v>8100.000000000001</v>
      </c>
      <c r="H9" s="227">
        <f aca="true" t="shared" si="1" ref="H9:H14">F9+G9</f>
        <v>38100</v>
      </c>
      <c r="I9" s="227">
        <v>30000</v>
      </c>
      <c r="J9" s="227">
        <f>I9*0.27</f>
        <v>8100.000000000001</v>
      </c>
      <c r="K9" s="227">
        <f aca="true" t="shared" si="2" ref="K9:K14">I9+J9</f>
        <v>38100</v>
      </c>
    </row>
    <row r="10" spans="1:11" ht="15.75" thickBot="1">
      <c r="A10" s="745" t="s">
        <v>263</v>
      </c>
      <c r="B10" s="746"/>
      <c r="C10" s="746"/>
      <c r="D10" s="746"/>
      <c r="E10" s="747"/>
      <c r="F10" s="227">
        <v>50000</v>
      </c>
      <c r="G10" s="227">
        <f>F10*27%</f>
        <v>13500</v>
      </c>
      <c r="H10" s="227">
        <f t="shared" si="1"/>
        <v>63500</v>
      </c>
      <c r="I10" s="227">
        <v>50000</v>
      </c>
      <c r="J10" s="227">
        <f>I10*27%</f>
        <v>13500</v>
      </c>
      <c r="K10" s="227">
        <f t="shared" si="2"/>
        <v>63500</v>
      </c>
    </row>
    <row r="11" spans="1:11" ht="15.75" thickBot="1">
      <c r="A11" s="717" t="s">
        <v>264</v>
      </c>
      <c r="B11" s="718"/>
      <c r="C11" s="718"/>
      <c r="D11" s="718"/>
      <c r="E11" s="719"/>
      <c r="F11" s="227">
        <v>70000</v>
      </c>
      <c r="G11" s="227">
        <f>F11*27%</f>
        <v>18900</v>
      </c>
      <c r="H11" s="227">
        <f t="shared" si="1"/>
        <v>88900</v>
      </c>
      <c r="I11" s="227">
        <v>70000</v>
      </c>
      <c r="J11" s="227">
        <f>I11*27%</f>
        <v>18900</v>
      </c>
      <c r="K11" s="227">
        <f t="shared" si="2"/>
        <v>88900</v>
      </c>
    </row>
    <row r="12" spans="1:11" ht="15.75" thickBot="1">
      <c r="A12" s="717" t="s">
        <v>265</v>
      </c>
      <c r="B12" s="718"/>
      <c r="C12" s="718"/>
      <c r="D12" s="718"/>
      <c r="E12" s="719"/>
      <c r="F12" s="227">
        <v>1500000</v>
      </c>
      <c r="G12" s="227">
        <f>F12*27%</f>
        <v>405000</v>
      </c>
      <c r="H12" s="227">
        <f t="shared" si="1"/>
        <v>1905000</v>
      </c>
      <c r="I12" s="227">
        <v>1500000</v>
      </c>
      <c r="J12" s="227">
        <f>I12*27%</f>
        <v>405000</v>
      </c>
      <c r="K12" s="227">
        <f t="shared" si="2"/>
        <v>1905000</v>
      </c>
    </row>
    <row r="13" spans="1:13" s="334" customFormat="1" ht="15.75" thickBot="1">
      <c r="A13" s="727" t="s">
        <v>266</v>
      </c>
      <c r="B13" s="728"/>
      <c r="C13" s="728"/>
      <c r="D13" s="728"/>
      <c r="E13" s="729"/>
      <c r="F13" s="383">
        <v>700000</v>
      </c>
      <c r="G13" s="383">
        <f>F13*27%</f>
        <v>189000</v>
      </c>
      <c r="H13" s="383">
        <f t="shared" si="1"/>
        <v>889000</v>
      </c>
      <c r="I13" s="383">
        <f>700000-117248</f>
        <v>582752</v>
      </c>
      <c r="J13" s="383">
        <f>I13*27%</f>
        <v>157343.04</v>
      </c>
      <c r="K13" s="383">
        <f t="shared" si="2"/>
        <v>740095.04</v>
      </c>
      <c r="L13" s="384"/>
      <c r="M13" s="384"/>
    </row>
    <row r="14" spans="1:11" ht="15.75" thickBot="1">
      <c r="A14" s="717" t="s">
        <v>267</v>
      </c>
      <c r="B14" s="718"/>
      <c r="C14" s="718"/>
      <c r="D14" s="718"/>
      <c r="E14" s="719"/>
      <c r="F14" s="228">
        <v>300000</v>
      </c>
      <c r="G14" s="227">
        <f>F14*27%</f>
        <v>81000</v>
      </c>
      <c r="H14" s="227">
        <f t="shared" si="1"/>
        <v>381000</v>
      </c>
      <c r="I14" s="228">
        <v>300000</v>
      </c>
      <c r="J14" s="227">
        <f>I14*27%</f>
        <v>81000</v>
      </c>
      <c r="K14" s="227">
        <f t="shared" si="2"/>
        <v>381000</v>
      </c>
    </row>
    <row r="15" spans="1:13" s="225" customFormat="1" ht="15.75" thickBot="1">
      <c r="A15" s="739" t="s">
        <v>268</v>
      </c>
      <c r="B15" s="740"/>
      <c r="C15" s="740"/>
      <c r="D15" s="740"/>
      <c r="E15" s="741"/>
      <c r="F15" s="226">
        <f aca="true" t="shared" si="3" ref="F15:K15">F9+F10+F11+F12+F14+F13</f>
        <v>2650000</v>
      </c>
      <c r="G15" s="226">
        <f t="shared" si="3"/>
        <v>715500</v>
      </c>
      <c r="H15" s="226">
        <f t="shared" si="3"/>
        <v>3365500</v>
      </c>
      <c r="I15" s="226">
        <f t="shared" si="3"/>
        <v>2532752</v>
      </c>
      <c r="J15" s="226">
        <f t="shared" si="3"/>
        <v>683843.04</v>
      </c>
      <c r="K15" s="226">
        <f t="shared" si="3"/>
        <v>3216595.04</v>
      </c>
      <c r="L15" s="382"/>
      <c r="M15" s="382"/>
    </row>
    <row r="16" spans="1:13" s="225" customFormat="1" ht="15.75" thickBot="1">
      <c r="A16" s="742" t="s">
        <v>269</v>
      </c>
      <c r="B16" s="743"/>
      <c r="C16" s="743"/>
      <c r="D16" s="743"/>
      <c r="E16" s="744"/>
      <c r="F16" s="226">
        <f aca="true" t="shared" si="4" ref="F16:K16">F8+F15</f>
        <v>2862275</v>
      </c>
      <c r="G16" s="226">
        <f t="shared" si="4"/>
        <v>726113.75</v>
      </c>
      <c r="H16" s="226">
        <f t="shared" si="4"/>
        <v>3588388.75</v>
      </c>
      <c r="I16" s="226">
        <f t="shared" si="4"/>
        <v>2745027</v>
      </c>
      <c r="J16" s="226">
        <f t="shared" si="4"/>
        <v>694456.79</v>
      </c>
      <c r="K16" s="226">
        <f t="shared" si="4"/>
        <v>3439483.79</v>
      </c>
      <c r="L16" s="382"/>
      <c r="M16" s="382"/>
    </row>
    <row r="17" spans="1:11" ht="15.75" thickBot="1">
      <c r="A17" s="745" t="s">
        <v>270</v>
      </c>
      <c r="B17" s="746"/>
      <c r="C17" s="746"/>
      <c r="D17" s="746"/>
      <c r="E17" s="747"/>
      <c r="F17" s="227">
        <v>60000</v>
      </c>
      <c r="G17" s="227">
        <f>F17*27%</f>
        <v>16200.000000000002</v>
      </c>
      <c r="H17" s="227">
        <f>F17+G17</f>
        <v>76200</v>
      </c>
      <c r="I17" s="227">
        <v>60000</v>
      </c>
      <c r="J17" s="227">
        <f>I17*27%</f>
        <v>16200.000000000002</v>
      </c>
      <c r="K17" s="227">
        <f>I17+J17</f>
        <v>76200</v>
      </c>
    </row>
    <row r="18" spans="1:11" ht="15.75" thickBot="1">
      <c r="A18" s="745" t="s">
        <v>271</v>
      </c>
      <c r="B18" s="746"/>
      <c r="C18" s="746"/>
      <c r="D18" s="746"/>
      <c r="E18" s="747"/>
      <c r="F18" s="227">
        <v>117600</v>
      </c>
      <c r="G18" s="227">
        <f>F18*27%</f>
        <v>31752.000000000004</v>
      </c>
      <c r="H18" s="227">
        <f>F18+G18</f>
        <v>149352</v>
      </c>
      <c r="I18" s="227">
        <v>117600</v>
      </c>
      <c r="J18" s="227">
        <f>I18*27%</f>
        <v>31752.000000000004</v>
      </c>
      <c r="K18" s="227">
        <f>I18+J18</f>
        <v>149352</v>
      </c>
    </row>
    <row r="19" spans="1:11" ht="15.75" thickBot="1">
      <c r="A19" s="745" t="s">
        <v>521</v>
      </c>
      <c r="B19" s="746"/>
      <c r="C19" s="746"/>
      <c r="D19" s="746"/>
      <c r="E19" s="747"/>
      <c r="F19" s="227">
        <v>144000</v>
      </c>
      <c r="G19" s="227">
        <f>F19*27%</f>
        <v>38880</v>
      </c>
      <c r="H19" s="227">
        <f>F19+G19</f>
        <v>182880</v>
      </c>
      <c r="I19" s="227">
        <v>144000</v>
      </c>
      <c r="J19" s="227">
        <f>I19*27%</f>
        <v>38880</v>
      </c>
      <c r="K19" s="227">
        <f>I19+J19</f>
        <v>182880</v>
      </c>
    </row>
    <row r="20" spans="1:11" ht="15.75" thickBot="1">
      <c r="A20" s="745" t="s">
        <v>272</v>
      </c>
      <c r="B20" s="746"/>
      <c r="C20" s="746"/>
      <c r="D20" s="746"/>
      <c r="E20" s="747"/>
      <c r="F20" s="227">
        <v>24000</v>
      </c>
      <c r="G20" s="227">
        <f>F20*5%</f>
        <v>1200</v>
      </c>
      <c r="H20" s="227">
        <f>F20+G20</f>
        <v>25200</v>
      </c>
      <c r="I20" s="227">
        <v>24000</v>
      </c>
      <c r="J20" s="227">
        <f>I20*5%</f>
        <v>1200</v>
      </c>
      <c r="K20" s="227">
        <f>I20+J20</f>
        <v>25200</v>
      </c>
    </row>
    <row r="21" spans="1:13" s="225" customFormat="1" ht="15.75" thickBot="1">
      <c r="A21" s="742" t="s">
        <v>273</v>
      </c>
      <c r="B21" s="743"/>
      <c r="C21" s="743"/>
      <c r="D21" s="743"/>
      <c r="E21" s="744"/>
      <c r="F21" s="226">
        <f aca="true" t="shared" si="5" ref="F21:K21">F17+F18+F19+F20</f>
        <v>345600</v>
      </c>
      <c r="G21" s="226">
        <f t="shared" si="5"/>
        <v>88032</v>
      </c>
      <c r="H21" s="226">
        <f t="shared" si="5"/>
        <v>433632</v>
      </c>
      <c r="I21" s="226">
        <f t="shared" si="5"/>
        <v>345600</v>
      </c>
      <c r="J21" s="226">
        <f t="shared" si="5"/>
        <v>88032</v>
      </c>
      <c r="K21" s="226">
        <f t="shared" si="5"/>
        <v>433632</v>
      </c>
      <c r="L21" s="382"/>
      <c r="M21" s="382"/>
    </row>
    <row r="22" spans="1:11" ht="15.75" thickBot="1">
      <c r="A22" s="745" t="s">
        <v>274</v>
      </c>
      <c r="B22" s="746"/>
      <c r="C22" s="746"/>
      <c r="D22" s="746"/>
      <c r="E22" s="747"/>
      <c r="F22" s="227">
        <v>250000</v>
      </c>
      <c r="G22" s="227">
        <f>F22*27%</f>
        <v>67500</v>
      </c>
      <c r="H22" s="227">
        <f>F22+G22</f>
        <v>317500</v>
      </c>
      <c r="I22" s="227">
        <v>250000</v>
      </c>
      <c r="J22" s="227">
        <f>I22*27%</f>
        <v>67500</v>
      </c>
      <c r="K22" s="227">
        <f>I22+J22</f>
        <v>317500</v>
      </c>
    </row>
    <row r="23" spans="1:13" s="225" customFormat="1" ht="15.75" thickBot="1">
      <c r="A23" s="742" t="s">
        <v>275</v>
      </c>
      <c r="B23" s="743"/>
      <c r="C23" s="743"/>
      <c r="D23" s="743"/>
      <c r="E23" s="744"/>
      <c r="F23" s="226">
        <f aca="true" t="shared" si="6" ref="F23:K23">F22</f>
        <v>250000</v>
      </c>
      <c r="G23" s="226">
        <f t="shared" si="6"/>
        <v>67500</v>
      </c>
      <c r="H23" s="226">
        <f t="shared" si="6"/>
        <v>317500</v>
      </c>
      <c r="I23" s="226">
        <f t="shared" si="6"/>
        <v>250000</v>
      </c>
      <c r="J23" s="226">
        <f t="shared" si="6"/>
        <v>67500</v>
      </c>
      <c r="K23" s="226">
        <f t="shared" si="6"/>
        <v>317500</v>
      </c>
      <c r="L23" s="382"/>
      <c r="M23" s="382"/>
    </row>
    <row r="24" spans="1:13" s="225" customFormat="1" ht="15.75" thickBot="1">
      <c r="A24" s="742" t="s">
        <v>276</v>
      </c>
      <c r="B24" s="743"/>
      <c r="C24" s="743"/>
      <c r="D24" s="743"/>
      <c r="E24" s="744"/>
      <c r="F24" s="226">
        <f aca="true" t="shared" si="7" ref="F24:K24">F21+F23</f>
        <v>595600</v>
      </c>
      <c r="G24" s="226">
        <f t="shared" si="7"/>
        <v>155532</v>
      </c>
      <c r="H24" s="226">
        <f t="shared" si="7"/>
        <v>751132</v>
      </c>
      <c r="I24" s="226">
        <f t="shared" si="7"/>
        <v>595600</v>
      </c>
      <c r="J24" s="226">
        <f t="shared" si="7"/>
        <v>155532</v>
      </c>
      <c r="K24" s="226">
        <f t="shared" si="7"/>
        <v>751132</v>
      </c>
      <c r="L24" s="382"/>
      <c r="M24" s="382"/>
    </row>
    <row r="25" spans="1:11" ht="15.75" thickBot="1">
      <c r="A25" s="717" t="s">
        <v>277</v>
      </c>
      <c r="B25" s="718"/>
      <c r="C25" s="718"/>
      <c r="D25" s="718"/>
      <c r="E25" s="719"/>
      <c r="F25" s="227">
        <v>2000000</v>
      </c>
      <c r="G25" s="227">
        <f>F25*27%</f>
        <v>540000</v>
      </c>
      <c r="H25" s="227">
        <f>F25+G25</f>
        <v>2540000</v>
      </c>
      <c r="I25" s="227">
        <v>2000000</v>
      </c>
      <c r="J25" s="227">
        <f>I25*27%</f>
        <v>540000</v>
      </c>
      <c r="K25" s="227">
        <f>I25+J25</f>
        <v>2540000</v>
      </c>
    </row>
    <row r="26" spans="1:11" ht="15.75" thickBot="1">
      <c r="A26" s="717" t="s">
        <v>278</v>
      </c>
      <c r="B26" s="718"/>
      <c r="C26" s="718"/>
      <c r="D26" s="718"/>
      <c r="E26" s="719"/>
      <c r="F26" s="227">
        <v>2000000</v>
      </c>
      <c r="G26" s="227">
        <v>540000</v>
      </c>
      <c r="H26" s="227">
        <f>F26+G26</f>
        <v>2540000</v>
      </c>
      <c r="I26" s="227">
        <v>2385515</v>
      </c>
      <c r="J26" s="227">
        <v>540000</v>
      </c>
      <c r="K26" s="227">
        <f>I26+J26</f>
        <v>2925515</v>
      </c>
    </row>
    <row r="27" spans="1:11" ht="15.75" thickBot="1">
      <c r="A27" s="717" t="s">
        <v>279</v>
      </c>
      <c r="B27" s="718"/>
      <c r="C27" s="718"/>
      <c r="D27" s="718"/>
      <c r="E27" s="719"/>
      <c r="F27" s="227">
        <v>40000</v>
      </c>
      <c r="G27" s="227">
        <f>F27*27%</f>
        <v>10800</v>
      </c>
      <c r="H27" s="227">
        <f>F27+G27</f>
        <v>50800</v>
      </c>
      <c r="I27" s="227">
        <v>50000</v>
      </c>
      <c r="J27" s="227">
        <v>3221</v>
      </c>
      <c r="K27" s="227">
        <f>I27+J27</f>
        <v>53221</v>
      </c>
    </row>
    <row r="28" spans="1:13" s="334" customFormat="1" ht="15.75" thickBot="1">
      <c r="A28" s="727" t="s">
        <v>570</v>
      </c>
      <c r="B28" s="728"/>
      <c r="C28" s="728"/>
      <c r="D28" s="728"/>
      <c r="E28" s="729"/>
      <c r="F28" s="383"/>
      <c r="G28" s="383"/>
      <c r="H28" s="383"/>
      <c r="I28" s="383">
        <v>117248</v>
      </c>
      <c r="J28" s="383">
        <f>I28*27%</f>
        <v>31656.960000000003</v>
      </c>
      <c r="K28" s="383">
        <f>I28+J28</f>
        <v>148904.96</v>
      </c>
      <c r="L28" s="384"/>
      <c r="M28" s="384"/>
    </row>
    <row r="29" spans="1:11" ht="15.75" thickBot="1">
      <c r="A29" s="717" t="s">
        <v>280</v>
      </c>
      <c r="B29" s="718"/>
      <c r="C29" s="718"/>
      <c r="D29" s="718"/>
      <c r="E29" s="719"/>
      <c r="F29" s="227">
        <v>1000000</v>
      </c>
      <c r="G29" s="227">
        <f>F29*27%</f>
        <v>270000</v>
      </c>
      <c r="H29" s="227">
        <f>F29+G29</f>
        <v>1270000</v>
      </c>
      <c r="I29" s="227">
        <v>1000000</v>
      </c>
      <c r="J29" s="227">
        <f>I29*27%</f>
        <v>270000</v>
      </c>
      <c r="K29" s="227">
        <f aca="true" t="shared" si="8" ref="K29:K50">I29+J29</f>
        <v>1270000</v>
      </c>
    </row>
    <row r="30" spans="1:11" ht="15.75" thickBot="1">
      <c r="A30" s="730" t="s">
        <v>522</v>
      </c>
      <c r="B30" s="731"/>
      <c r="C30" s="731"/>
      <c r="D30" s="731"/>
      <c r="E30" s="732"/>
      <c r="F30" s="227">
        <v>350000</v>
      </c>
      <c r="G30" s="227">
        <v>0</v>
      </c>
      <c r="H30" s="227">
        <f>F30+G30</f>
        <v>350000</v>
      </c>
      <c r="I30" s="227">
        <v>350000</v>
      </c>
      <c r="J30" s="227">
        <v>0</v>
      </c>
      <c r="K30" s="227">
        <f t="shared" si="8"/>
        <v>350000</v>
      </c>
    </row>
    <row r="31" spans="1:13" s="334" customFormat="1" ht="15.75" thickBot="1">
      <c r="A31" s="733" t="s">
        <v>523</v>
      </c>
      <c r="B31" s="734"/>
      <c r="C31" s="734"/>
      <c r="D31" s="734"/>
      <c r="E31" s="735"/>
      <c r="F31" s="383">
        <v>400000</v>
      </c>
      <c r="G31" s="383">
        <f>F31*27%</f>
        <v>108000</v>
      </c>
      <c r="H31" s="383">
        <f>F31+G31</f>
        <v>508000</v>
      </c>
      <c r="I31" s="383">
        <v>400000</v>
      </c>
      <c r="J31" s="383">
        <f>I31*27%</f>
        <v>108000</v>
      </c>
      <c r="K31" s="383">
        <f t="shared" si="8"/>
        <v>508000</v>
      </c>
      <c r="L31" s="384"/>
      <c r="M31" s="384"/>
    </row>
    <row r="32" spans="1:13" s="334" customFormat="1" ht="15.75" thickBot="1">
      <c r="A32" s="733" t="s">
        <v>636</v>
      </c>
      <c r="B32" s="734"/>
      <c r="C32" s="734"/>
      <c r="D32" s="734"/>
      <c r="E32" s="735"/>
      <c r="F32" s="383"/>
      <c r="G32" s="383"/>
      <c r="H32" s="383"/>
      <c r="I32" s="383">
        <v>250000</v>
      </c>
      <c r="J32" s="383">
        <f>I32*27%</f>
        <v>67500</v>
      </c>
      <c r="K32" s="383">
        <f t="shared" si="8"/>
        <v>317500</v>
      </c>
      <c r="L32" s="384"/>
      <c r="M32" s="384"/>
    </row>
    <row r="33" spans="1:13" s="334" customFormat="1" ht="15.75" thickBot="1">
      <c r="A33" s="733" t="s">
        <v>637</v>
      </c>
      <c r="B33" s="734"/>
      <c r="C33" s="734"/>
      <c r="D33" s="734"/>
      <c r="E33" s="735"/>
      <c r="F33" s="383"/>
      <c r="G33" s="383"/>
      <c r="H33" s="383"/>
      <c r="I33" s="383">
        <v>225000</v>
      </c>
      <c r="J33" s="383">
        <f>I33*27%</f>
        <v>60750.00000000001</v>
      </c>
      <c r="K33" s="383">
        <f t="shared" si="8"/>
        <v>285750</v>
      </c>
      <c r="L33" s="384"/>
      <c r="M33" s="384"/>
    </row>
    <row r="34" spans="1:13" s="334" customFormat="1" ht="15.75" thickBot="1">
      <c r="A34" s="733" t="s">
        <v>638</v>
      </c>
      <c r="B34" s="734"/>
      <c r="C34" s="734"/>
      <c r="D34" s="734"/>
      <c r="E34" s="735"/>
      <c r="F34" s="383"/>
      <c r="G34" s="383"/>
      <c r="H34" s="383"/>
      <c r="I34" s="383">
        <v>985000</v>
      </c>
      <c r="J34" s="383">
        <f>I34*27%</f>
        <v>265950</v>
      </c>
      <c r="K34" s="383">
        <f t="shared" si="8"/>
        <v>1250950</v>
      </c>
      <c r="L34" s="384"/>
      <c r="M34" s="384"/>
    </row>
    <row r="35" spans="1:13" ht="15.75" thickBot="1">
      <c r="A35" s="717" t="s">
        <v>281</v>
      </c>
      <c r="B35" s="718"/>
      <c r="C35" s="718"/>
      <c r="D35" s="718"/>
      <c r="E35" s="719"/>
      <c r="F35" s="227">
        <v>500000</v>
      </c>
      <c r="G35" s="227">
        <v>0</v>
      </c>
      <c r="H35" s="227">
        <f>F35+G35</f>
        <v>500000</v>
      </c>
      <c r="I35" s="227">
        <v>500000</v>
      </c>
      <c r="J35" s="227">
        <v>0</v>
      </c>
      <c r="K35" s="227">
        <f t="shared" si="8"/>
        <v>500000</v>
      </c>
      <c r="M35"/>
    </row>
    <row r="36" spans="1:13" s="334" customFormat="1" ht="49.5" customHeight="1" thickBot="1">
      <c r="A36" s="724" t="s">
        <v>524</v>
      </c>
      <c r="B36" s="725"/>
      <c r="C36" s="725"/>
      <c r="D36" s="725"/>
      <c r="E36" s="726"/>
      <c r="F36" s="383">
        <v>50000</v>
      </c>
      <c r="G36" s="383">
        <f>F36*27%</f>
        <v>13500</v>
      </c>
      <c r="H36" s="383">
        <f>F36+G36</f>
        <v>63500</v>
      </c>
      <c r="I36" s="383">
        <v>50000</v>
      </c>
      <c r="J36" s="383">
        <f>I36*27%</f>
        <v>13500</v>
      </c>
      <c r="K36" s="383">
        <f t="shared" si="8"/>
        <v>63500</v>
      </c>
      <c r="L36" s="384"/>
      <c r="M36" s="384"/>
    </row>
    <row r="37" spans="1:11" ht="36.75" customHeight="1" thickBot="1">
      <c r="A37" s="748" t="s">
        <v>571</v>
      </c>
      <c r="B37" s="749"/>
      <c r="C37" s="749"/>
      <c r="D37" s="749"/>
      <c r="E37" s="750"/>
      <c r="F37" s="227">
        <v>6389816</v>
      </c>
      <c r="G37" s="227">
        <v>548123</v>
      </c>
      <c r="H37" s="227">
        <f>F37+G37</f>
        <v>6937939</v>
      </c>
      <c r="I37" s="227">
        <f>6389826+1781308+1226400+259180</f>
        <v>9656714</v>
      </c>
      <c r="J37" s="227">
        <f>548123+69979</f>
        <v>618102</v>
      </c>
      <c r="K37" s="227">
        <f t="shared" si="8"/>
        <v>10274816</v>
      </c>
    </row>
    <row r="38" spans="1:11" ht="15.75" thickBot="1">
      <c r="A38" s="730" t="s">
        <v>572</v>
      </c>
      <c r="B38" s="751"/>
      <c r="C38" s="751"/>
      <c r="D38" s="751"/>
      <c r="E38" s="752"/>
      <c r="F38" s="227"/>
      <c r="G38" s="227"/>
      <c r="H38" s="227"/>
      <c r="I38" s="227">
        <v>240000</v>
      </c>
      <c r="J38" s="227">
        <f>I38*27%</f>
        <v>64800.00000000001</v>
      </c>
      <c r="K38" s="227">
        <f t="shared" si="8"/>
        <v>304800</v>
      </c>
    </row>
    <row r="39" spans="1:11" ht="15.75" thickBot="1">
      <c r="A39" s="724" t="s">
        <v>573</v>
      </c>
      <c r="B39" s="725"/>
      <c r="C39" s="725"/>
      <c r="D39" s="725"/>
      <c r="E39" s="726"/>
      <c r="F39" s="227"/>
      <c r="G39" s="227"/>
      <c r="H39" s="227"/>
      <c r="I39" s="227">
        <v>8350</v>
      </c>
      <c r="J39" s="227">
        <v>0</v>
      </c>
      <c r="K39" s="227">
        <f t="shared" si="8"/>
        <v>8350</v>
      </c>
    </row>
    <row r="40" spans="1:11" ht="15.75" thickBot="1">
      <c r="A40" s="724" t="s">
        <v>574</v>
      </c>
      <c r="B40" s="725"/>
      <c r="C40" s="725"/>
      <c r="D40" s="725"/>
      <c r="E40" s="726"/>
      <c r="F40" s="227"/>
      <c r="G40" s="227"/>
      <c r="H40" s="227"/>
      <c r="I40" s="227">
        <v>25000</v>
      </c>
      <c r="J40" s="227">
        <v>0</v>
      </c>
      <c r="K40" s="227">
        <f t="shared" si="8"/>
        <v>25000</v>
      </c>
    </row>
    <row r="41" spans="1:11" ht="15.75" thickBot="1">
      <c r="A41" s="724" t="s">
        <v>575</v>
      </c>
      <c r="B41" s="725"/>
      <c r="C41" s="725"/>
      <c r="D41" s="725"/>
      <c r="E41" s="726"/>
      <c r="F41" s="227"/>
      <c r="G41" s="227"/>
      <c r="H41" s="227"/>
      <c r="I41" s="227">
        <v>6600</v>
      </c>
      <c r="J41" s="227">
        <v>0</v>
      </c>
      <c r="K41" s="227">
        <f t="shared" si="8"/>
        <v>6600</v>
      </c>
    </row>
    <row r="42" spans="1:11" ht="15.75" thickBot="1">
      <c r="A42" s="724" t="s">
        <v>576</v>
      </c>
      <c r="B42" s="725"/>
      <c r="C42" s="725"/>
      <c r="D42" s="725"/>
      <c r="E42" s="726"/>
      <c r="F42" s="227"/>
      <c r="G42" s="227"/>
      <c r="H42" s="227"/>
      <c r="I42" s="227">
        <v>90000</v>
      </c>
      <c r="J42" s="227">
        <v>0</v>
      </c>
      <c r="K42" s="227">
        <f t="shared" si="8"/>
        <v>90000</v>
      </c>
    </row>
    <row r="43" spans="1:11" ht="43.5" customHeight="1" thickBot="1">
      <c r="A43" s="724" t="s">
        <v>577</v>
      </c>
      <c r="B43" s="725"/>
      <c r="C43" s="725"/>
      <c r="D43" s="725"/>
      <c r="E43" s="726"/>
      <c r="F43" s="227"/>
      <c r="G43" s="227"/>
      <c r="H43" s="227"/>
      <c r="I43" s="227">
        <v>50000</v>
      </c>
      <c r="J43" s="227">
        <f aca="true" t="shared" si="9" ref="J43:J48">I43*27%</f>
        <v>13500</v>
      </c>
      <c r="K43" s="227">
        <f t="shared" si="8"/>
        <v>63500</v>
      </c>
    </row>
    <row r="44" spans="1:11" ht="36.75" customHeight="1" thickBot="1">
      <c r="A44" s="724" t="s">
        <v>578</v>
      </c>
      <c r="B44" s="725"/>
      <c r="C44" s="725"/>
      <c r="D44" s="725"/>
      <c r="E44" s="726"/>
      <c r="F44" s="227"/>
      <c r="G44" s="227"/>
      <c r="H44" s="227"/>
      <c r="I44" s="227">
        <v>150000</v>
      </c>
      <c r="J44" s="227">
        <f t="shared" si="9"/>
        <v>40500</v>
      </c>
      <c r="K44" s="227">
        <f t="shared" si="8"/>
        <v>190500</v>
      </c>
    </row>
    <row r="45" spans="1:11" ht="51.75" customHeight="1" thickBot="1">
      <c r="A45" s="724" t="s">
        <v>579</v>
      </c>
      <c r="B45" s="725"/>
      <c r="C45" s="725"/>
      <c r="D45" s="725"/>
      <c r="E45" s="726"/>
      <c r="F45" s="227"/>
      <c r="G45" s="227"/>
      <c r="H45" s="227"/>
      <c r="I45" s="227">
        <v>50000</v>
      </c>
      <c r="J45" s="227">
        <f t="shared" si="9"/>
        <v>13500</v>
      </c>
      <c r="K45" s="227">
        <f t="shared" si="8"/>
        <v>63500</v>
      </c>
    </row>
    <row r="46" spans="1:11" ht="45.75" customHeight="1" thickBot="1">
      <c r="A46" s="724" t="s">
        <v>580</v>
      </c>
      <c r="B46" s="725"/>
      <c r="C46" s="725"/>
      <c r="D46" s="725"/>
      <c r="E46" s="726"/>
      <c r="F46" s="227"/>
      <c r="G46" s="227"/>
      <c r="H46" s="227"/>
      <c r="I46" s="227">
        <v>50000</v>
      </c>
      <c r="J46" s="227">
        <f t="shared" si="9"/>
        <v>13500</v>
      </c>
      <c r="K46" s="227">
        <f t="shared" si="8"/>
        <v>63500</v>
      </c>
    </row>
    <row r="47" spans="1:11" ht="45.75" customHeight="1" thickBot="1">
      <c r="A47" s="724" t="s">
        <v>581</v>
      </c>
      <c r="B47" s="725"/>
      <c r="C47" s="725"/>
      <c r="D47" s="725"/>
      <c r="E47" s="726"/>
      <c r="F47" s="227"/>
      <c r="G47" s="227"/>
      <c r="H47" s="227"/>
      <c r="I47" s="227">
        <v>383240</v>
      </c>
      <c r="J47" s="227">
        <f t="shared" si="9"/>
        <v>103474.8</v>
      </c>
      <c r="K47" s="227">
        <f t="shared" si="8"/>
        <v>486714.8</v>
      </c>
    </row>
    <row r="48" spans="1:11" ht="45.75" customHeight="1" thickBot="1">
      <c r="A48" s="724" t="s">
        <v>639</v>
      </c>
      <c r="B48" s="725"/>
      <c r="C48" s="725"/>
      <c r="D48" s="725"/>
      <c r="E48" s="726"/>
      <c r="F48" s="227"/>
      <c r="G48" s="227"/>
      <c r="H48" s="227"/>
      <c r="I48" s="227">
        <v>1077361</v>
      </c>
      <c r="J48" s="227">
        <f t="shared" si="9"/>
        <v>290887.47000000003</v>
      </c>
      <c r="K48" s="227">
        <f t="shared" si="8"/>
        <v>1368248.47</v>
      </c>
    </row>
    <row r="49" spans="1:11" ht="45.75" customHeight="1" thickBot="1">
      <c r="A49" s="724" t="s">
        <v>640</v>
      </c>
      <c r="B49" s="725"/>
      <c r="C49" s="725"/>
      <c r="D49" s="725"/>
      <c r="E49" s="726"/>
      <c r="F49" s="227"/>
      <c r="G49" s="227"/>
      <c r="H49" s="227"/>
      <c r="I49" s="227">
        <v>16600</v>
      </c>
      <c r="J49" s="227"/>
      <c r="K49" s="227">
        <f t="shared" si="8"/>
        <v>16600</v>
      </c>
    </row>
    <row r="50" spans="1:11" ht="45.75" customHeight="1" thickBot="1">
      <c r="A50" s="724" t="s">
        <v>641</v>
      </c>
      <c r="B50" s="725"/>
      <c r="C50" s="725"/>
      <c r="D50" s="725"/>
      <c r="E50" s="726"/>
      <c r="F50" s="227"/>
      <c r="G50" s="227"/>
      <c r="H50" s="227"/>
      <c r="I50" s="227">
        <v>2500000</v>
      </c>
      <c r="J50" s="227">
        <f>I50*27%</f>
        <v>675000</v>
      </c>
      <c r="K50" s="227">
        <f t="shared" si="8"/>
        <v>3175000</v>
      </c>
    </row>
    <row r="51" spans="1:13" s="225" customFormat="1" ht="15.75" thickBot="1">
      <c r="A51" s="720" t="s">
        <v>282</v>
      </c>
      <c r="B51" s="721"/>
      <c r="C51" s="721"/>
      <c r="D51" s="721"/>
      <c r="E51" s="722"/>
      <c r="F51" s="226">
        <f>F35+F36+F37</f>
        <v>6939816</v>
      </c>
      <c r="G51" s="226">
        <f>G37+G35+G36</f>
        <v>561623</v>
      </c>
      <c r="H51" s="226">
        <f>F51+G51</f>
        <v>7501439</v>
      </c>
      <c r="I51" s="226">
        <f>SUM(I35:I50)</f>
        <v>14853865</v>
      </c>
      <c r="J51" s="226">
        <f>SUM(J35:J50)</f>
        <v>1846764.27</v>
      </c>
      <c r="K51" s="226">
        <f>SUM(K35:K47)</f>
        <v>12140780.8</v>
      </c>
      <c r="L51" s="382"/>
      <c r="M51" s="382"/>
    </row>
    <row r="52" spans="1:13" s="225" customFormat="1" ht="15.75" thickBot="1">
      <c r="A52" s="720" t="s">
        <v>283</v>
      </c>
      <c r="B52" s="721"/>
      <c r="C52" s="721"/>
      <c r="D52" s="721"/>
      <c r="E52" s="722"/>
      <c r="F52" s="226">
        <f>F25+F26+F27+F29+F30+F35+F37+F31</f>
        <v>12679816</v>
      </c>
      <c r="G52" s="226">
        <f>G25+G26+G27+G29+G30+G35+G37+G31</f>
        <v>2016923</v>
      </c>
      <c r="H52" s="226">
        <f>H25+H26+H27+H29+H30+H35+H37+H31</f>
        <v>14696739</v>
      </c>
      <c r="I52" s="226">
        <f>I25+I26+I27+I28+I29+I30+I31+I51+I32+I33+I34</f>
        <v>22616628</v>
      </c>
      <c r="J52" s="226">
        <f>J51+J34+J33+J32+J31+J30+J29+J28+J27+J25+J26</f>
        <v>3733842.23</v>
      </c>
      <c r="K52" s="226">
        <f>K25+K26+K27+K29+K30+K35+K37+K31</f>
        <v>18421552</v>
      </c>
      <c r="L52" s="382"/>
      <c r="M52" s="382"/>
    </row>
    <row r="53" spans="1:11" ht="15.75" thickBot="1">
      <c r="A53" s="717" t="s">
        <v>284</v>
      </c>
      <c r="B53" s="718"/>
      <c r="C53" s="718"/>
      <c r="D53" s="718"/>
      <c r="E53" s="719"/>
      <c r="F53" s="227">
        <v>50000</v>
      </c>
      <c r="G53" s="227">
        <v>0</v>
      </c>
      <c r="H53" s="227">
        <f>F53+G53</f>
        <v>50000</v>
      </c>
      <c r="I53" s="227">
        <v>50000</v>
      </c>
      <c r="J53" s="227">
        <v>0</v>
      </c>
      <c r="K53" s="227">
        <f>I53+J53</f>
        <v>50000</v>
      </c>
    </row>
    <row r="54" spans="1:11" ht="15.75" thickBot="1">
      <c r="A54" s="717" t="s">
        <v>285</v>
      </c>
      <c r="B54" s="718"/>
      <c r="C54" s="718"/>
      <c r="D54" s="718"/>
      <c r="E54" s="719"/>
      <c r="F54" s="227">
        <v>268000</v>
      </c>
      <c r="G54" s="227">
        <f>F54*27%</f>
        <v>72360</v>
      </c>
      <c r="H54" s="227">
        <f>F54+G54</f>
        <v>340360</v>
      </c>
      <c r="I54" s="227">
        <v>700860</v>
      </c>
      <c r="J54" s="227"/>
      <c r="K54" s="227">
        <f>I54+J54</f>
        <v>700860</v>
      </c>
    </row>
    <row r="55" spans="1:13" s="225" customFormat="1" ht="15.75" thickBot="1">
      <c r="A55" s="720" t="s">
        <v>286</v>
      </c>
      <c r="B55" s="721"/>
      <c r="C55" s="721"/>
      <c r="D55" s="721"/>
      <c r="E55" s="722"/>
      <c r="F55" s="226">
        <f aca="true" t="shared" si="10" ref="F55:K55">F53+F54</f>
        <v>318000</v>
      </c>
      <c r="G55" s="226">
        <f t="shared" si="10"/>
        <v>72360</v>
      </c>
      <c r="H55" s="226">
        <f t="shared" si="10"/>
        <v>390360</v>
      </c>
      <c r="I55" s="226">
        <f t="shared" si="10"/>
        <v>750860</v>
      </c>
      <c r="J55" s="226">
        <f t="shared" si="10"/>
        <v>0</v>
      </c>
      <c r="K55" s="226">
        <f t="shared" si="10"/>
        <v>750860</v>
      </c>
      <c r="L55" s="382"/>
      <c r="M55" s="382"/>
    </row>
    <row r="56" spans="1:11" ht="15.75" thickBot="1">
      <c r="A56" s="717" t="s">
        <v>287</v>
      </c>
      <c r="B56" s="718"/>
      <c r="C56" s="718"/>
      <c r="D56" s="718"/>
      <c r="E56" s="719"/>
      <c r="F56" s="227">
        <v>0</v>
      </c>
      <c r="G56" s="227">
        <v>3016829</v>
      </c>
      <c r="H56" s="227">
        <f>G56</f>
        <v>3016829</v>
      </c>
      <c r="I56" s="227">
        <v>0</v>
      </c>
      <c r="J56" s="227">
        <f>J52</f>
        <v>3733842.23</v>
      </c>
      <c r="K56" s="227">
        <f>J56</f>
        <v>3733842.23</v>
      </c>
    </row>
    <row r="57" spans="1:11" ht="15.75" thickBot="1">
      <c r="A57" s="717" t="s">
        <v>288</v>
      </c>
      <c r="B57" s="718"/>
      <c r="C57" s="718"/>
      <c r="D57" s="718"/>
      <c r="E57" s="719"/>
      <c r="F57" s="227">
        <v>120000</v>
      </c>
      <c r="G57" s="227">
        <v>32400</v>
      </c>
      <c r="H57" s="227">
        <f>F57+G57</f>
        <v>152400</v>
      </c>
      <c r="I57" s="227">
        <v>120000</v>
      </c>
      <c r="J57" s="227"/>
      <c r="K57" s="227">
        <f>I57+J57</f>
        <v>120000</v>
      </c>
    </row>
    <row r="58" spans="1:13" s="225" customFormat="1" ht="15.75" thickBot="1">
      <c r="A58" s="720" t="s">
        <v>289</v>
      </c>
      <c r="B58" s="721"/>
      <c r="C58" s="721"/>
      <c r="D58" s="721"/>
      <c r="E58" s="722"/>
      <c r="F58" s="226">
        <f>F56+F57</f>
        <v>120000</v>
      </c>
      <c r="G58" s="226">
        <f>G57</f>
        <v>32400</v>
      </c>
      <c r="H58" s="226">
        <f>F58+G58</f>
        <v>152400</v>
      </c>
      <c r="I58" s="226">
        <f>I56+I57</f>
        <v>120000</v>
      </c>
      <c r="J58" s="226">
        <f>J57</f>
        <v>0</v>
      </c>
      <c r="K58" s="226">
        <f>I58+J58</f>
        <v>120000</v>
      </c>
      <c r="L58" s="382"/>
      <c r="M58" s="382"/>
    </row>
    <row r="59" spans="1:13" s="225" customFormat="1" ht="15.75" thickBot="1">
      <c r="A59" s="720" t="s">
        <v>290</v>
      </c>
      <c r="B59" s="721"/>
      <c r="C59" s="721"/>
      <c r="D59" s="721"/>
      <c r="E59" s="722"/>
      <c r="F59" s="226">
        <f>F8+F15+F21+F23+F25+F26+F27+F29+F30+F31+F37+F53+F54+F57+F35+F36</f>
        <v>16625691</v>
      </c>
      <c r="G59" s="226">
        <f>G8+G15+G21+G23+G25+G26+G27+G29+G31+G35+G30+G36+G37+G54+G53+G57</f>
        <v>3016828.75</v>
      </c>
      <c r="H59" s="226">
        <f>F59+G59</f>
        <v>19642519.75</v>
      </c>
      <c r="I59" s="226">
        <f>I58+I55+I52+I24+I16</f>
        <v>26828115</v>
      </c>
      <c r="J59" s="226">
        <f>J56</f>
        <v>3733842.23</v>
      </c>
      <c r="K59" s="226">
        <f>I59+J59</f>
        <v>30561957.23</v>
      </c>
      <c r="L59" s="382"/>
      <c r="M59" s="382"/>
    </row>
  </sheetData>
  <sheetProtection/>
  <mergeCells count="57">
    <mergeCell ref="A21:E21"/>
    <mergeCell ref="A9:E9"/>
    <mergeCell ref="A10:E10"/>
    <mergeCell ref="A11:E11"/>
    <mergeCell ref="A24:E24"/>
    <mergeCell ref="A13:E13"/>
    <mergeCell ref="A33:E33"/>
    <mergeCell ref="A17:E17"/>
    <mergeCell ref="A18:E18"/>
    <mergeCell ref="A19:E19"/>
    <mergeCell ref="A20:E20"/>
    <mergeCell ref="A37:E37"/>
    <mergeCell ref="A39:E39"/>
    <mergeCell ref="A38:E38"/>
    <mergeCell ref="A23:E23"/>
    <mergeCell ref="A32:E32"/>
    <mergeCell ref="A51:E51"/>
    <mergeCell ref="A34:E34"/>
    <mergeCell ref="A48:E48"/>
    <mergeCell ref="A49:E49"/>
    <mergeCell ref="A50:E50"/>
    <mergeCell ref="A1:H1"/>
    <mergeCell ref="A5:E5"/>
    <mergeCell ref="A6:E6"/>
    <mergeCell ref="A15:E15"/>
    <mergeCell ref="A16:E16"/>
    <mergeCell ref="A22:E22"/>
    <mergeCell ref="A14:E14"/>
    <mergeCell ref="A12:E12"/>
    <mergeCell ref="A7:E7"/>
    <mergeCell ref="A8:E8"/>
    <mergeCell ref="A40:E40"/>
    <mergeCell ref="A25:E25"/>
    <mergeCell ref="A26:E26"/>
    <mergeCell ref="A27:E27"/>
    <mergeCell ref="A28:E28"/>
    <mergeCell ref="A29:E29"/>
    <mergeCell ref="A30:E30"/>
    <mergeCell ref="A31:E31"/>
    <mergeCell ref="A35:E35"/>
    <mergeCell ref="A36:E36"/>
    <mergeCell ref="A47:E47"/>
    <mergeCell ref="A41:E41"/>
    <mergeCell ref="A42:E42"/>
    <mergeCell ref="A43:E43"/>
    <mergeCell ref="A44:E44"/>
    <mergeCell ref="A45:E45"/>
    <mergeCell ref="A57:E57"/>
    <mergeCell ref="A58:E58"/>
    <mergeCell ref="A59:E59"/>
    <mergeCell ref="C2:F2"/>
    <mergeCell ref="A52:E52"/>
    <mergeCell ref="A53:E53"/>
    <mergeCell ref="A54:E54"/>
    <mergeCell ref="A55:E55"/>
    <mergeCell ref="A56:E56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B1">
      <selection activeCell="AD29" sqref="AD29"/>
    </sheetView>
  </sheetViews>
  <sheetFormatPr defaultColWidth="9.00390625" defaultRowHeight="12.75"/>
  <cols>
    <col min="1" max="17" width="3.25390625" style="240" customWidth="1"/>
    <col min="18" max="18" width="2.875" style="240" customWidth="1"/>
    <col min="19" max="19" width="0.74609375" style="240" customWidth="1"/>
    <col min="20" max="20" width="2.00390625" style="240" customWidth="1"/>
    <col min="21" max="21" width="3.25390625" style="240" customWidth="1"/>
    <col min="22" max="22" width="0.875" style="240" customWidth="1"/>
    <col min="23" max="23" width="7.875" style="240" customWidth="1"/>
    <col min="24" max="24" width="6.875" style="240" customWidth="1"/>
    <col min="25" max="25" width="17.00390625" style="240" bestFit="1" customWidth="1"/>
    <col min="26" max="26" width="18.125" style="240" customWidth="1"/>
    <col min="27" max="27" width="17.625" style="240" bestFit="1" customWidth="1"/>
    <col min="28" max="28" width="17.125" style="240" customWidth="1"/>
    <col min="29" max="29" width="18.00390625" style="240" customWidth="1"/>
    <col min="30" max="30" width="19.125" style="240" customWidth="1"/>
    <col min="31" max="16384" width="9.125" style="240" customWidth="1"/>
  </cols>
  <sheetData>
    <row r="1" spans="1:27" ht="18.75">
      <c r="A1" s="691" t="s">
        <v>220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</row>
    <row r="2" spans="1:28" ht="15.75">
      <c r="A2" s="853" t="s">
        <v>642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</row>
    <row r="3" spans="1:28" ht="15.75">
      <c r="A3" s="854" t="s">
        <v>663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</row>
    <row r="4" spans="1:29" ht="13.5" thickBo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/>
      <c r="X4"/>
      <c r="Y4"/>
      <c r="AC4" s="240" t="s">
        <v>643</v>
      </c>
    </row>
    <row r="5" spans="1:30" ht="15.75" customHeight="1">
      <c r="A5" s="804" t="s">
        <v>171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6"/>
      <c r="T5" s="811" t="s">
        <v>184</v>
      </c>
      <c r="U5" s="811"/>
      <c r="V5" s="812"/>
      <c r="W5" s="444" t="s">
        <v>337</v>
      </c>
      <c r="X5" s="445"/>
      <c r="Y5" s="856" t="s">
        <v>644</v>
      </c>
      <c r="Z5" s="446" t="s">
        <v>226</v>
      </c>
      <c r="AA5" s="857" t="s">
        <v>645</v>
      </c>
      <c r="AB5" s="852" t="s">
        <v>646</v>
      </c>
      <c r="AC5" s="852" t="s">
        <v>647</v>
      </c>
      <c r="AD5" s="852" t="s">
        <v>631</v>
      </c>
    </row>
    <row r="6" spans="1:30" ht="41.25" customHeight="1" thickBot="1">
      <c r="A6" s="807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9"/>
      <c r="T6" s="814"/>
      <c r="U6" s="814"/>
      <c r="V6" s="815"/>
      <c r="W6" s="824" t="s">
        <v>338</v>
      </c>
      <c r="X6" s="825"/>
      <c r="Y6" s="817"/>
      <c r="Z6" s="447" t="s">
        <v>648</v>
      </c>
      <c r="AA6" s="819"/>
      <c r="AB6" s="821"/>
      <c r="AC6" s="821"/>
      <c r="AD6" s="821"/>
    </row>
    <row r="7" spans="1:30" ht="13.5" thickBot="1">
      <c r="A7" s="798" t="s">
        <v>649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800"/>
      <c r="T7" s="792" t="s">
        <v>339</v>
      </c>
      <c r="U7" s="792"/>
      <c r="V7" s="793"/>
      <c r="W7" s="794" t="s">
        <v>664</v>
      </c>
      <c r="X7" s="795"/>
      <c r="Y7" s="448">
        <f>Z7+AA7+AB7+AC7+AD7</f>
        <v>6775092</v>
      </c>
      <c r="Z7" s="449">
        <v>660000</v>
      </c>
      <c r="AA7" s="450">
        <f>2897508+14102*12</f>
        <v>3066732</v>
      </c>
      <c r="AB7" s="451">
        <f>1638360</f>
        <v>1638360</v>
      </c>
      <c r="AC7" s="451">
        <f>(80500*10)+121000</f>
        <v>926000</v>
      </c>
      <c r="AD7" s="451">
        <v>484000</v>
      </c>
    </row>
    <row r="8" spans="1:30" ht="12.75">
      <c r="A8" s="788" t="s">
        <v>650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90"/>
      <c r="T8" s="792" t="s">
        <v>340</v>
      </c>
      <c r="U8" s="792"/>
      <c r="V8" s="793"/>
      <c r="W8" s="794" t="s">
        <v>665</v>
      </c>
      <c r="X8" s="795"/>
      <c r="Y8" s="448">
        <f aca="true" t="shared" si="0" ref="Y8:Y19">Z8+AA8+AB8+AC8+AD8</f>
        <v>100000</v>
      </c>
      <c r="Z8" s="238"/>
      <c r="AA8" s="453">
        <v>100000</v>
      </c>
      <c r="AB8" s="451"/>
      <c r="AC8" s="451"/>
      <c r="AD8" s="451"/>
    </row>
    <row r="9" spans="1:30" ht="12.75">
      <c r="A9" s="788" t="s">
        <v>651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90"/>
      <c r="T9" s="792" t="s">
        <v>341</v>
      </c>
      <c r="U9" s="792"/>
      <c r="V9" s="793"/>
      <c r="W9" s="794" t="s">
        <v>666</v>
      </c>
      <c r="X9" s="795"/>
      <c r="Y9" s="448">
        <f t="shared" si="0"/>
        <v>196000</v>
      </c>
      <c r="Z9" s="238">
        <v>0</v>
      </c>
      <c r="AA9" s="238">
        <v>196000</v>
      </c>
      <c r="AB9" s="451"/>
      <c r="AC9" s="451"/>
      <c r="AD9" s="451"/>
    </row>
    <row r="10" spans="1:30" ht="12.75">
      <c r="A10" s="788" t="s">
        <v>652</v>
      </c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90"/>
      <c r="T10" s="792" t="s">
        <v>342</v>
      </c>
      <c r="U10" s="792"/>
      <c r="V10" s="793"/>
      <c r="W10" s="794" t="s">
        <v>667</v>
      </c>
      <c r="X10" s="795"/>
      <c r="Y10" s="448">
        <f t="shared" si="0"/>
        <v>0</v>
      </c>
      <c r="Z10" s="238">
        <v>0</v>
      </c>
      <c r="AA10" s="238"/>
      <c r="AB10" s="451"/>
      <c r="AC10" s="451"/>
      <c r="AD10" s="451"/>
    </row>
    <row r="11" spans="1:30" ht="12.75">
      <c r="A11" s="788" t="s">
        <v>653</v>
      </c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452"/>
      <c r="T11" s="792" t="s">
        <v>343</v>
      </c>
      <c r="U11" s="792"/>
      <c r="V11" s="793"/>
      <c r="W11" s="794" t="s">
        <v>668</v>
      </c>
      <c r="X11" s="795"/>
      <c r="Y11" s="448">
        <f t="shared" si="0"/>
        <v>100000</v>
      </c>
      <c r="Z11" s="238">
        <v>0</v>
      </c>
      <c r="AA11" s="238">
        <v>50000</v>
      </c>
      <c r="AB11" s="451">
        <v>50000</v>
      </c>
      <c r="AC11" s="451">
        <v>0</v>
      </c>
      <c r="AD11" s="451">
        <v>0</v>
      </c>
    </row>
    <row r="12" spans="1:30" ht="12.75">
      <c r="A12" s="788" t="s">
        <v>654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90"/>
      <c r="T12" s="792" t="s">
        <v>344</v>
      </c>
      <c r="U12" s="792"/>
      <c r="V12" s="793"/>
      <c r="W12" s="794" t="s">
        <v>669</v>
      </c>
      <c r="X12" s="795"/>
      <c r="Y12" s="448">
        <f t="shared" si="0"/>
        <v>5423176</v>
      </c>
      <c r="Z12" s="238">
        <f>540000+100000+174000+3590400+1018776</f>
        <v>5423176</v>
      </c>
      <c r="AA12" s="238"/>
      <c r="AB12" s="451"/>
      <c r="AC12" s="451"/>
      <c r="AD12" s="451"/>
    </row>
    <row r="13" spans="1:30" ht="12.75">
      <c r="A13" s="788" t="s">
        <v>655</v>
      </c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90"/>
      <c r="T13" s="792" t="s">
        <v>345</v>
      </c>
      <c r="U13" s="792"/>
      <c r="V13" s="793"/>
      <c r="W13" s="794" t="s">
        <v>670</v>
      </c>
      <c r="X13" s="795"/>
      <c r="Y13" s="448">
        <f t="shared" si="0"/>
        <v>0</v>
      </c>
      <c r="Z13" s="238"/>
      <c r="AA13" s="238"/>
      <c r="AB13" s="451"/>
      <c r="AC13" s="451"/>
      <c r="AD13" s="451"/>
    </row>
    <row r="14" spans="1:30" ht="13.5" thickBot="1">
      <c r="A14" s="843" t="s">
        <v>656</v>
      </c>
      <c r="B14" s="844"/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4"/>
      <c r="P14" s="844"/>
      <c r="Q14" s="844"/>
      <c r="R14" s="844"/>
      <c r="S14" s="845"/>
      <c r="T14" s="846" t="s">
        <v>346</v>
      </c>
      <c r="U14" s="846"/>
      <c r="V14" s="847"/>
      <c r="W14" s="850" t="s">
        <v>671</v>
      </c>
      <c r="X14" s="851"/>
      <c r="Y14" s="448">
        <f t="shared" si="0"/>
        <v>500000</v>
      </c>
      <c r="Z14" s="454">
        <v>500000</v>
      </c>
      <c r="AA14" s="454"/>
      <c r="AB14" s="455"/>
      <c r="AC14" s="455"/>
      <c r="AD14" s="455"/>
    </row>
    <row r="15" spans="1:30" ht="16.5" thickBot="1">
      <c r="A15" s="772" t="s">
        <v>657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4"/>
      <c r="T15" s="776" t="s">
        <v>347</v>
      </c>
      <c r="U15" s="776"/>
      <c r="V15" s="777"/>
      <c r="W15" s="778"/>
      <c r="X15" s="779"/>
      <c r="Y15" s="456">
        <f t="shared" si="0"/>
        <v>13094268</v>
      </c>
      <c r="Z15" s="457">
        <f>Z7+Z8+Z9+Z10+Z11+Z12+Z13+Z14</f>
        <v>6583176</v>
      </c>
      <c r="AA15" s="457">
        <f>AA7+AA8+AA9+AA10+AA11+AA12+AA13+AA14</f>
        <v>3412732</v>
      </c>
      <c r="AB15" s="458">
        <f>AB7+AB8+AB9+AB10+AB11+AB12+AB13+AB14</f>
        <v>1688360</v>
      </c>
      <c r="AC15" s="458">
        <f>AC7+AC8+AC9+AC10+AC11+AC12+AC13+AC14</f>
        <v>926000</v>
      </c>
      <c r="AD15" s="458">
        <f>AD7+AD8+AD9+AD10+AD11+AD12+AD13+AD14</f>
        <v>484000</v>
      </c>
    </row>
    <row r="16" spans="1:30" ht="12.75">
      <c r="A16" s="836" t="s">
        <v>658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8"/>
      <c r="T16" s="839" t="s">
        <v>348</v>
      </c>
      <c r="U16" s="839"/>
      <c r="V16" s="840"/>
      <c r="W16" s="841" t="s">
        <v>659</v>
      </c>
      <c r="X16" s="842"/>
      <c r="Y16" s="448">
        <f t="shared" si="0"/>
        <v>2164040.4</v>
      </c>
      <c r="Z16" s="453">
        <f>Z15*17.5%+Z7*17.5%</f>
        <v>1267555.7999999998</v>
      </c>
      <c r="AA16" s="453">
        <f>AA15*17.5%</f>
        <v>597228.1</v>
      </c>
      <c r="AB16" s="453">
        <f>AB15*8.75%+38995</f>
        <v>186726.5</v>
      </c>
      <c r="AC16" s="453">
        <v>18755</v>
      </c>
      <c r="AD16" s="453">
        <f>18755+75020</f>
        <v>93775</v>
      </c>
    </row>
    <row r="17" spans="1:30" ht="13.5" thickBot="1">
      <c r="A17" s="843" t="s">
        <v>660</v>
      </c>
      <c r="B17" s="844"/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5"/>
      <c r="T17" s="846" t="s">
        <v>349</v>
      </c>
      <c r="U17" s="846"/>
      <c r="V17" s="847"/>
      <c r="W17" s="848" t="s">
        <v>659</v>
      </c>
      <c r="X17" s="849"/>
      <c r="Y17" s="448">
        <f t="shared" si="0"/>
        <v>156449</v>
      </c>
      <c r="Z17" s="454">
        <v>127049</v>
      </c>
      <c r="AA17" s="454">
        <f>AA9*15%</f>
        <v>29400</v>
      </c>
      <c r="AB17" s="455">
        <f>'[1]bér '!X4</f>
        <v>0</v>
      </c>
      <c r="AC17" s="455">
        <v>0</v>
      </c>
      <c r="AD17" s="455">
        <v>0</v>
      </c>
    </row>
    <row r="18" spans="1:30" ht="16.5" thickBot="1">
      <c r="A18" s="826" t="s">
        <v>661</v>
      </c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8"/>
      <c r="T18" s="757" t="s">
        <v>350</v>
      </c>
      <c r="U18" s="757"/>
      <c r="V18" s="758"/>
      <c r="W18" s="759"/>
      <c r="X18" s="760"/>
      <c r="Y18" s="456">
        <f t="shared" si="0"/>
        <v>2320489.4</v>
      </c>
      <c r="Z18" s="459">
        <f>Z16+Z17</f>
        <v>1394604.7999999998</v>
      </c>
      <c r="AA18" s="460">
        <f>AA16+AA17</f>
        <v>626628.1</v>
      </c>
      <c r="AB18" s="461">
        <f>AB16+AB17</f>
        <v>186726.5</v>
      </c>
      <c r="AC18" s="461">
        <f>AC16+AC17</f>
        <v>18755</v>
      </c>
      <c r="AD18" s="461">
        <f>AD16+AD17</f>
        <v>93775</v>
      </c>
    </row>
    <row r="19" spans="1:30" s="464" customFormat="1" ht="16.5" thickBot="1">
      <c r="A19" s="829" t="s">
        <v>662</v>
      </c>
      <c r="B19" s="830"/>
      <c r="C19" s="830"/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1"/>
      <c r="T19" s="832" t="s">
        <v>351</v>
      </c>
      <c r="U19" s="832"/>
      <c r="V19" s="833"/>
      <c r="W19" s="834"/>
      <c r="X19" s="835"/>
      <c r="Y19" s="456">
        <f t="shared" si="0"/>
        <v>15414757.4</v>
      </c>
      <c r="Z19" s="462">
        <f>Z15+Z18</f>
        <v>7977780.8</v>
      </c>
      <c r="AA19" s="462">
        <f>AA18+AA15</f>
        <v>4039360.1</v>
      </c>
      <c r="AB19" s="463">
        <f>AB18+AB15</f>
        <v>1875086.5</v>
      </c>
      <c r="AC19" s="463">
        <f>AC18+AC15</f>
        <v>944755</v>
      </c>
      <c r="AD19" s="463">
        <f>AD18+AD15</f>
        <v>577775</v>
      </c>
    </row>
    <row r="20" spans="25:28" ht="12" customHeight="1">
      <c r="Y20" s="465"/>
      <c r="Z20" s="465"/>
      <c r="AA20" s="465"/>
      <c r="AB20" s="465"/>
    </row>
    <row r="25" spans="25:29" ht="13.5" thickBot="1">
      <c r="Y25" s="801" t="s">
        <v>559</v>
      </c>
      <c r="Z25" s="802"/>
      <c r="AA25" s="802"/>
      <c r="AB25" s="802"/>
      <c r="AC25" s="803"/>
    </row>
    <row r="26" spans="1:29" ht="15.75">
      <c r="A26" s="804" t="s">
        <v>171</v>
      </c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6"/>
      <c r="T26" s="810" t="s">
        <v>184</v>
      </c>
      <c r="U26" s="811"/>
      <c r="V26" s="812"/>
      <c r="W26" s="444" t="s">
        <v>337</v>
      </c>
      <c r="X26" s="445"/>
      <c r="Y26" s="816" t="s">
        <v>644</v>
      </c>
      <c r="Z26" s="466" t="s">
        <v>226</v>
      </c>
      <c r="AA26" s="818" t="s">
        <v>645</v>
      </c>
      <c r="AB26" s="820" t="s">
        <v>646</v>
      </c>
      <c r="AC26" s="822" t="s">
        <v>647</v>
      </c>
    </row>
    <row r="27" spans="1:29" ht="32.25" customHeight="1" thickBot="1">
      <c r="A27" s="807"/>
      <c r="B27" s="808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9"/>
      <c r="T27" s="813"/>
      <c r="U27" s="814"/>
      <c r="V27" s="815"/>
      <c r="W27" s="824" t="s">
        <v>338</v>
      </c>
      <c r="X27" s="825"/>
      <c r="Y27" s="817"/>
      <c r="Z27" s="447" t="s">
        <v>648</v>
      </c>
      <c r="AA27" s="819"/>
      <c r="AB27" s="821"/>
      <c r="AC27" s="823"/>
    </row>
    <row r="28" spans="1:29" ht="13.5" thickBot="1">
      <c r="A28" s="798" t="s">
        <v>649</v>
      </c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800"/>
      <c r="T28" s="791" t="s">
        <v>339</v>
      </c>
      <c r="U28" s="792"/>
      <c r="V28" s="793"/>
      <c r="W28" s="794" t="s">
        <v>664</v>
      </c>
      <c r="X28" s="795"/>
      <c r="Y28" s="448">
        <f>Z28+AA28+AB28+AC28</f>
        <v>5510092</v>
      </c>
      <c r="Z28" s="449"/>
      <c r="AA28" s="450">
        <f>2897508+14102*12</f>
        <v>3066732</v>
      </c>
      <c r="AB28" s="451">
        <f>978360+660000</f>
        <v>1638360</v>
      </c>
      <c r="AC28" s="451">
        <f>80500*10</f>
        <v>805000</v>
      </c>
    </row>
    <row r="29" spans="1:29" ht="12.75">
      <c r="A29" s="788" t="s">
        <v>650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90"/>
      <c r="T29" s="791" t="s">
        <v>340</v>
      </c>
      <c r="U29" s="792"/>
      <c r="V29" s="793"/>
      <c r="W29" s="794" t="s">
        <v>665</v>
      </c>
      <c r="X29" s="795"/>
      <c r="Y29" s="448">
        <f aca="true" t="shared" si="1" ref="Y29:Y35">Z29+AA29+AB29+AC29</f>
        <v>100000</v>
      </c>
      <c r="Z29" s="238"/>
      <c r="AA29" s="453">
        <v>100000</v>
      </c>
      <c r="AB29" s="451"/>
      <c r="AC29" s="451"/>
    </row>
    <row r="30" spans="1:29" ht="12.75">
      <c r="A30" s="788" t="s">
        <v>651</v>
      </c>
      <c r="B30" s="789"/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90"/>
      <c r="T30" s="791" t="s">
        <v>341</v>
      </c>
      <c r="U30" s="792"/>
      <c r="V30" s="793"/>
      <c r="W30" s="794" t="s">
        <v>666</v>
      </c>
      <c r="X30" s="795"/>
      <c r="Y30" s="448">
        <f t="shared" si="1"/>
        <v>196000</v>
      </c>
      <c r="Z30" s="238">
        <v>0</v>
      </c>
      <c r="AA30" s="238">
        <v>196000</v>
      </c>
      <c r="AB30" s="451"/>
      <c r="AC30" s="451"/>
    </row>
    <row r="31" spans="1:29" ht="12.75">
      <c r="A31" s="788" t="s">
        <v>652</v>
      </c>
      <c r="B31" s="789"/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90"/>
      <c r="T31" s="791" t="s">
        <v>342</v>
      </c>
      <c r="U31" s="792"/>
      <c r="V31" s="793"/>
      <c r="W31" s="794" t="s">
        <v>667</v>
      </c>
      <c r="X31" s="795"/>
      <c r="Y31" s="448">
        <f t="shared" si="1"/>
        <v>0</v>
      </c>
      <c r="Z31" s="238">
        <v>0</v>
      </c>
      <c r="AA31" s="238"/>
      <c r="AB31" s="451"/>
      <c r="AC31" s="451"/>
    </row>
    <row r="32" spans="1:29" ht="12.75">
      <c r="A32" s="788" t="s">
        <v>653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452"/>
      <c r="T32" s="791" t="s">
        <v>343</v>
      </c>
      <c r="U32" s="792"/>
      <c r="V32" s="793"/>
      <c r="W32" s="794" t="s">
        <v>668</v>
      </c>
      <c r="X32" s="795"/>
      <c r="Y32" s="448">
        <f t="shared" si="1"/>
        <v>100000</v>
      </c>
      <c r="Z32" s="238">
        <v>0</v>
      </c>
      <c r="AA32" s="238">
        <v>50000</v>
      </c>
      <c r="AB32" s="451">
        <v>50000</v>
      </c>
      <c r="AC32" s="451">
        <v>0</v>
      </c>
    </row>
    <row r="33" spans="1:29" ht="12.75">
      <c r="A33" s="788" t="s">
        <v>654</v>
      </c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90"/>
      <c r="T33" s="791" t="s">
        <v>344</v>
      </c>
      <c r="U33" s="792"/>
      <c r="V33" s="793"/>
      <c r="W33" s="794" t="s">
        <v>669</v>
      </c>
      <c r="X33" s="795"/>
      <c r="Y33" s="448">
        <f t="shared" si="1"/>
        <v>5423176</v>
      </c>
      <c r="Z33" s="238">
        <f>540000+100000+174000+3590400+1018776</f>
        <v>5423176</v>
      </c>
      <c r="AA33" s="238"/>
      <c r="AB33" s="451"/>
      <c r="AC33" s="451"/>
    </row>
    <row r="34" spans="1:29" ht="12.75">
      <c r="A34" s="788" t="s">
        <v>655</v>
      </c>
      <c r="B34" s="789"/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90"/>
      <c r="T34" s="791" t="s">
        <v>345</v>
      </c>
      <c r="U34" s="792"/>
      <c r="V34" s="793"/>
      <c r="W34" s="794" t="s">
        <v>670</v>
      </c>
      <c r="X34" s="795"/>
      <c r="Y34" s="448">
        <f t="shared" si="1"/>
        <v>0</v>
      </c>
      <c r="Z34" s="238"/>
      <c r="AA34" s="238"/>
      <c r="AB34" s="451"/>
      <c r="AC34" s="451"/>
    </row>
    <row r="35" spans="1:29" ht="13.5" thickBot="1">
      <c r="A35" s="761" t="s">
        <v>656</v>
      </c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3"/>
      <c r="T35" s="764" t="s">
        <v>346</v>
      </c>
      <c r="U35" s="765"/>
      <c r="V35" s="766"/>
      <c r="W35" s="796" t="s">
        <v>671</v>
      </c>
      <c r="X35" s="797"/>
      <c r="Y35" s="448">
        <f t="shared" si="1"/>
        <v>500000</v>
      </c>
      <c r="Z35" s="454">
        <v>500000</v>
      </c>
      <c r="AA35" s="454"/>
      <c r="AB35" s="455"/>
      <c r="AC35" s="455"/>
    </row>
    <row r="36" spans="1:29" ht="16.5" thickBot="1">
      <c r="A36" s="772" t="s">
        <v>657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4"/>
      <c r="T36" s="775" t="s">
        <v>347</v>
      </c>
      <c r="U36" s="776"/>
      <c r="V36" s="777"/>
      <c r="W36" s="778"/>
      <c r="X36" s="779"/>
      <c r="Y36" s="467">
        <f>Y28+Y29+Y30+Y31+Y32+Y33+Y34+Y35</f>
        <v>11829268</v>
      </c>
      <c r="Z36" s="457">
        <f>Z28+Z29+Z30+Z31+Z32+Z33+Z34+Z35</f>
        <v>5923176</v>
      </c>
      <c r="AA36" s="457">
        <f>AA28+AA29+AA30+AA31+AA32+AA33+AA34+AA35</f>
        <v>3412732</v>
      </c>
      <c r="AB36" s="458">
        <f>AB28+AB29+AB30+AB31+AB32+AB33+AB34+AB35</f>
        <v>1688360</v>
      </c>
      <c r="AC36" s="458">
        <f>AC28+AC29+AC30+AC31+AC32+AC33+AC34+AC35</f>
        <v>805000</v>
      </c>
    </row>
    <row r="37" spans="1:29" ht="12.75">
      <c r="A37" s="780" t="s">
        <v>658</v>
      </c>
      <c r="B37" s="781"/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1"/>
      <c r="N37" s="781"/>
      <c r="O37" s="781"/>
      <c r="P37" s="781"/>
      <c r="Q37" s="781"/>
      <c r="R37" s="781"/>
      <c r="S37" s="782"/>
      <c r="T37" s="783" t="s">
        <v>348</v>
      </c>
      <c r="U37" s="784"/>
      <c r="V37" s="785"/>
      <c r="W37" s="786" t="s">
        <v>659</v>
      </c>
      <c r="X37" s="787"/>
      <c r="Y37" s="468">
        <f>Z37+AA37+AB37</f>
        <v>1781515.4</v>
      </c>
      <c r="Z37" s="453">
        <f>Z36*17.5%+Z28*17.5%</f>
        <v>1036555.7999999999</v>
      </c>
      <c r="AA37" s="453">
        <f>AA36*17.5%</f>
        <v>597228.1</v>
      </c>
      <c r="AB37" s="453">
        <f>AB36*8.75%</f>
        <v>147731.5</v>
      </c>
      <c r="AC37" s="453">
        <v>0</v>
      </c>
    </row>
    <row r="38" spans="1:29" ht="13.5" thickBot="1">
      <c r="A38" s="761" t="s">
        <v>660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3"/>
      <c r="T38" s="764" t="s">
        <v>349</v>
      </c>
      <c r="U38" s="765"/>
      <c r="V38" s="766"/>
      <c r="W38" s="767" t="s">
        <v>659</v>
      </c>
      <c r="X38" s="768"/>
      <c r="Y38" s="448">
        <f>Z38+AA38+AB38</f>
        <v>156449</v>
      </c>
      <c r="Z38" s="454">
        <v>127049</v>
      </c>
      <c r="AA38" s="454">
        <f>AA30*15%</f>
        <v>29400</v>
      </c>
      <c r="AB38" s="455">
        <v>0</v>
      </c>
      <c r="AC38" s="455">
        <v>0</v>
      </c>
    </row>
    <row r="39" spans="1:29" ht="16.5" thickBot="1">
      <c r="A39" s="769" t="s">
        <v>661</v>
      </c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770"/>
      <c r="O39" s="770"/>
      <c r="P39" s="770"/>
      <c r="Q39" s="770"/>
      <c r="R39" s="770"/>
      <c r="S39" s="771"/>
      <c r="T39" s="756" t="s">
        <v>350</v>
      </c>
      <c r="U39" s="757"/>
      <c r="V39" s="758"/>
      <c r="W39" s="759"/>
      <c r="X39" s="760"/>
      <c r="Y39" s="469">
        <f>Y37+Y38</f>
        <v>1937964.4</v>
      </c>
      <c r="Z39" s="459">
        <f>Z37+Z38</f>
        <v>1163604.7999999998</v>
      </c>
      <c r="AA39" s="460">
        <f>AA37+AA38</f>
        <v>626628.1</v>
      </c>
      <c r="AB39" s="461">
        <f>AB37+AB38</f>
        <v>147731.5</v>
      </c>
      <c r="AC39" s="461">
        <f>AC37+AC38</f>
        <v>0</v>
      </c>
    </row>
    <row r="40" spans="1:29" ht="16.5" thickBot="1">
      <c r="A40" s="753" t="s">
        <v>662</v>
      </c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5"/>
      <c r="T40" s="756" t="s">
        <v>351</v>
      </c>
      <c r="U40" s="757"/>
      <c r="V40" s="758"/>
      <c r="W40" s="759"/>
      <c r="X40" s="760"/>
      <c r="Y40" s="470">
        <f>Y39+Y36</f>
        <v>13767232.4</v>
      </c>
      <c r="Z40" s="462">
        <f>Z36+Z39</f>
        <v>7086780.8</v>
      </c>
      <c r="AA40" s="462">
        <f>AA39+AA36</f>
        <v>4039360.1</v>
      </c>
      <c r="AB40" s="463">
        <f>AB39+AB36</f>
        <v>1836091.5</v>
      </c>
      <c r="AC40" s="463">
        <f>AC39+AC36</f>
        <v>805000</v>
      </c>
    </row>
  </sheetData>
  <sheetProtection/>
  <mergeCells count="97">
    <mergeCell ref="A1:AA1"/>
    <mergeCell ref="A2:AB2"/>
    <mergeCell ref="A3:AB3"/>
    <mergeCell ref="A5:S6"/>
    <mergeCell ref="T5:V6"/>
    <mergeCell ref="Y5:Y6"/>
    <mergeCell ref="AA5:AA6"/>
    <mergeCell ref="AB5:AB6"/>
    <mergeCell ref="AC5:AC6"/>
    <mergeCell ref="AD5:AD6"/>
    <mergeCell ref="W6:X6"/>
    <mergeCell ref="A7:S7"/>
    <mergeCell ref="T7:V7"/>
    <mergeCell ref="W7:X7"/>
    <mergeCell ref="A8:S8"/>
    <mergeCell ref="T8:V8"/>
    <mergeCell ref="W8:X8"/>
    <mergeCell ref="A9:S9"/>
    <mergeCell ref="T9:V9"/>
    <mergeCell ref="W9:X9"/>
    <mergeCell ref="A10:S10"/>
    <mergeCell ref="T10:V10"/>
    <mergeCell ref="W10:X10"/>
    <mergeCell ref="A11:R11"/>
    <mergeCell ref="T11:V11"/>
    <mergeCell ref="W11:X11"/>
    <mergeCell ref="A12:S12"/>
    <mergeCell ref="T12:V12"/>
    <mergeCell ref="W12:X12"/>
    <mergeCell ref="A13:S13"/>
    <mergeCell ref="T13:V13"/>
    <mergeCell ref="W13:X13"/>
    <mergeCell ref="A14:S14"/>
    <mergeCell ref="T14:V14"/>
    <mergeCell ref="W14:X14"/>
    <mergeCell ref="A15:S15"/>
    <mergeCell ref="T15:V15"/>
    <mergeCell ref="W15:X15"/>
    <mergeCell ref="A16:S16"/>
    <mergeCell ref="T16:V16"/>
    <mergeCell ref="W16:X16"/>
    <mergeCell ref="A17:S17"/>
    <mergeCell ref="T17:V17"/>
    <mergeCell ref="W17:X17"/>
    <mergeCell ref="A18:S18"/>
    <mergeCell ref="T18:V18"/>
    <mergeCell ref="W18:X18"/>
    <mergeCell ref="A19:S19"/>
    <mergeCell ref="T19:V19"/>
    <mergeCell ref="W19:X19"/>
    <mergeCell ref="Y25:AC25"/>
    <mergeCell ref="A26:S27"/>
    <mergeCell ref="T26:V27"/>
    <mergeCell ref="Y26:Y27"/>
    <mergeCell ref="AA26:AA27"/>
    <mergeCell ref="AB26:AB27"/>
    <mergeCell ref="AC26:AC27"/>
    <mergeCell ref="W27:X27"/>
    <mergeCell ref="A28:S28"/>
    <mergeCell ref="T28:V28"/>
    <mergeCell ref="W28:X28"/>
    <mergeCell ref="A29:S29"/>
    <mergeCell ref="T29:V29"/>
    <mergeCell ref="W29:X29"/>
    <mergeCell ref="A30:S30"/>
    <mergeCell ref="T30:V30"/>
    <mergeCell ref="W30:X30"/>
    <mergeCell ref="A31:S31"/>
    <mergeCell ref="T31:V31"/>
    <mergeCell ref="W31:X31"/>
    <mergeCell ref="A32:R32"/>
    <mergeCell ref="T32:V32"/>
    <mergeCell ref="W32:X32"/>
    <mergeCell ref="A33:S33"/>
    <mergeCell ref="T33:V33"/>
    <mergeCell ref="W33:X33"/>
    <mergeCell ref="A34:S34"/>
    <mergeCell ref="T34:V34"/>
    <mergeCell ref="W34:X34"/>
    <mergeCell ref="A35:S35"/>
    <mergeCell ref="T35:V35"/>
    <mergeCell ref="W35:X35"/>
    <mergeCell ref="A36:S36"/>
    <mergeCell ref="T36:V36"/>
    <mergeCell ref="W36:X36"/>
    <mergeCell ref="A37:S37"/>
    <mergeCell ref="T37:V37"/>
    <mergeCell ref="W37:X37"/>
    <mergeCell ref="A40:S40"/>
    <mergeCell ref="T40:V40"/>
    <mergeCell ref="W40:X40"/>
    <mergeCell ref="A38:S38"/>
    <mergeCell ref="T38:V38"/>
    <mergeCell ref="W38:X38"/>
    <mergeCell ref="A39:S39"/>
    <mergeCell ref="T39:V39"/>
    <mergeCell ref="W39:X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77"/>
  <sheetViews>
    <sheetView zoomScalePageLayoutView="0" workbookViewId="0" topLeftCell="A49">
      <selection activeCell="A71" sqref="A71"/>
    </sheetView>
  </sheetViews>
  <sheetFormatPr defaultColWidth="9.00390625" defaultRowHeight="12.75"/>
  <cols>
    <col min="1" max="1" width="73.625" style="0" bestFit="1" customWidth="1"/>
    <col min="2" max="2" width="22.25390625" style="0" bestFit="1" customWidth="1"/>
    <col min="3" max="3" width="17.125" style="0" customWidth="1"/>
    <col min="4" max="4" width="13.00390625" style="0" bestFit="1" customWidth="1"/>
    <col min="5" max="5" width="22.25390625" style="225" bestFit="1" customWidth="1"/>
    <col min="6" max="6" width="11.00390625" style="0" bestFit="1" customWidth="1"/>
    <col min="7" max="7" width="16.125" style="0" hidden="1" customWidth="1"/>
    <col min="8" max="8" width="20.00390625" style="0" hidden="1" customWidth="1"/>
    <col min="9" max="9" width="15.25390625" style="0" hidden="1" customWidth="1"/>
  </cols>
  <sheetData>
    <row r="1" ht="15">
      <c r="E1" s="225" t="s">
        <v>622</v>
      </c>
    </row>
    <row r="2" ht="15">
      <c r="A2" s="225" t="s">
        <v>623</v>
      </c>
    </row>
    <row r="3" spans="2:5" ht="15">
      <c r="B3" s="225" t="s">
        <v>552</v>
      </c>
      <c r="E3" s="225" t="s">
        <v>553</v>
      </c>
    </row>
    <row r="4" ht="15">
      <c r="B4" s="225"/>
    </row>
    <row r="5" spans="1:5" ht="15">
      <c r="A5" s="439" t="s">
        <v>160</v>
      </c>
      <c r="B5" s="225" t="s">
        <v>525</v>
      </c>
      <c r="E5" s="225" t="s">
        <v>525</v>
      </c>
    </row>
    <row r="6" spans="1:5" ht="12.75">
      <c r="A6" t="s">
        <v>292</v>
      </c>
      <c r="B6" s="440">
        <v>800000</v>
      </c>
      <c r="C6" t="s">
        <v>293</v>
      </c>
      <c r="D6" s="228">
        <v>91101</v>
      </c>
      <c r="E6" s="440">
        <v>791411</v>
      </c>
    </row>
    <row r="7" spans="1:5" ht="15">
      <c r="A7" t="s">
        <v>294</v>
      </c>
      <c r="B7" s="404">
        <v>5000000</v>
      </c>
      <c r="C7" t="s">
        <v>295</v>
      </c>
      <c r="D7" s="228">
        <v>91102</v>
      </c>
      <c r="E7" s="404">
        <v>5917779</v>
      </c>
    </row>
    <row r="8" spans="1:5" ht="15">
      <c r="A8" t="s">
        <v>296</v>
      </c>
      <c r="B8" s="404">
        <v>4700000</v>
      </c>
      <c r="C8" t="s">
        <v>297</v>
      </c>
      <c r="D8" s="228">
        <v>91103</v>
      </c>
      <c r="E8" s="405">
        <v>4891419</v>
      </c>
    </row>
    <row r="9" spans="1:5" ht="15">
      <c r="A9" t="s">
        <v>298</v>
      </c>
      <c r="B9" s="404">
        <v>200000</v>
      </c>
      <c r="C9" t="s">
        <v>299</v>
      </c>
      <c r="D9" s="228">
        <v>91104</v>
      </c>
      <c r="E9" s="404">
        <v>50002</v>
      </c>
    </row>
    <row r="10" spans="1:5" ht="15">
      <c r="A10" t="s">
        <v>300</v>
      </c>
      <c r="B10" s="404">
        <v>800000</v>
      </c>
      <c r="C10" t="s">
        <v>301</v>
      </c>
      <c r="D10" s="228">
        <v>91105</v>
      </c>
      <c r="E10" s="405">
        <v>0</v>
      </c>
    </row>
    <row r="11" spans="1:5" ht="15">
      <c r="A11" t="s">
        <v>302</v>
      </c>
      <c r="B11" s="404">
        <v>100000</v>
      </c>
      <c r="C11" t="s">
        <v>303</v>
      </c>
      <c r="D11" s="228">
        <v>91106</v>
      </c>
      <c r="E11" s="404">
        <v>223428</v>
      </c>
    </row>
    <row r="12" spans="1:5" ht="15">
      <c r="A12" t="s">
        <v>304</v>
      </c>
      <c r="B12" s="405"/>
      <c r="C12" t="s">
        <v>303</v>
      </c>
      <c r="D12" s="228">
        <v>91106</v>
      </c>
      <c r="E12" s="405"/>
    </row>
    <row r="13" spans="1:5" ht="15">
      <c r="A13" t="s">
        <v>305</v>
      </c>
      <c r="B13" s="405"/>
      <c r="C13" t="s">
        <v>303</v>
      </c>
      <c r="D13" s="228">
        <v>91107</v>
      </c>
      <c r="E13" s="405"/>
    </row>
    <row r="14" spans="1:5" ht="15">
      <c r="A14" t="s">
        <v>526</v>
      </c>
      <c r="B14" s="405"/>
      <c r="D14" s="228"/>
      <c r="E14" s="405"/>
    </row>
    <row r="15" spans="2:6" ht="15.75">
      <c r="B15" s="385">
        <f>SUM(B6:B14)</f>
        <v>11600000</v>
      </c>
      <c r="C15" s="229">
        <f>SUM(C6:C14)</f>
        <v>0</v>
      </c>
      <c r="D15" s="385"/>
      <c r="E15" s="385">
        <f>SUM(E6:E14)</f>
        <v>11874039</v>
      </c>
      <c r="F15" s="230"/>
    </row>
    <row r="16" spans="2:5" ht="15">
      <c r="B16" s="406"/>
      <c r="D16" s="228"/>
      <c r="E16" s="406"/>
    </row>
    <row r="17" spans="1:9" ht="12.75">
      <c r="A17" t="s">
        <v>527</v>
      </c>
      <c r="B17" s="440">
        <v>40638869</v>
      </c>
      <c r="C17" s="441" t="s">
        <v>307</v>
      </c>
      <c r="D17" s="442"/>
      <c r="E17" s="440">
        <v>40638869</v>
      </c>
      <c r="G17" s="231"/>
      <c r="H17" s="231" t="s">
        <v>236</v>
      </c>
      <c r="I17" s="232" t="e">
        <f>#REF!*0.27</f>
        <v>#REF!</v>
      </c>
    </row>
    <row r="18" spans="2:9" ht="15">
      <c r="B18" s="406"/>
      <c r="C18" s="441"/>
      <c r="D18" s="442"/>
      <c r="E18" s="406"/>
      <c r="G18" s="231"/>
      <c r="H18" s="231"/>
      <c r="I18" s="232"/>
    </row>
    <row r="19" spans="1:9" ht="15">
      <c r="A19" t="s">
        <v>308</v>
      </c>
      <c r="B19" s="406"/>
      <c r="C19" s="441"/>
      <c r="D19" s="442"/>
      <c r="E19" s="406"/>
      <c r="G19" s="231"/>
      <c r="H19" s="231" t="s">
        <v>309</v>
      </c>
      <c r="I19" s="232" t="e">
        <f>SUM(I17:I17)</f>
        <v>#REF!</v>
      </c>
    </row>
    <row r="20" spans="1:9" ht="15">
      <c r="A20" t="s">
        <v>331</v>
      </c>
      <c r="B20" s="406"/>
      <c r="C20" s="441"/>
      <c r="D20" s="442"/>
      <c r="E20" s="406"/>
      <c r="G20" s="231"/>
      <c r="H20" s="231"/>
      <c r="I20" s="232"/>
    </row>
    <row r="21" spans="1:9" ht="15">
      <c r="A21" t="s">
        <v>310</v>
      </c>
      <c r="B21" s="406"/>
      <c r="C21" s="441"/>
      <c r="D21" s="442"/>
      <c r="E21" s="406"/>
      <c r="G21" s="231"/>
      <c r="H21" s="231"/>
      <c r="I21" s="232"/>
    </row>
    <row r="22" spans="1:9" ht="15">
      <c r="A22" t="s">
        <v>311</v>
      </c>
      <c r="B22" s="406"/>
      <c r="C22" s="441"/>
      <c r="D22" s="442"/>
      <c r="E22" s="406"/>
      <c r="G22" s="231"/>
      <c r="H22" s="231"/>
      <c r="I22" s="232"/>
    </row>
    <row r="23" spans="1:9" ht="15">
      <c r="A23" t="s">
        <v>332</v>
      </c>
      <c r="B23" s="406"/>
      <c r="C23" s="441"/>
      <c r="D23" s="442"/>
      <c r="E23" s="406"/>
      <c r="G23" s="231"/>
      <c r="H23" s="231"/>
      <c r="I23" s="232"/>
    </row>
    <row r="24" spans="1:9" ht="15">
      <c r="A24" t="s">
        <v>333</v>
      </c>
      <c r="B24" s="406"/>
      <c r="C24" s="441"/>
      <c r="D24" s="442"/>
      <c r="E24" s="406"/>
      <c r="G24" s="231"/>
      <c r="H24" s="231"/>
      <c r="I24" s="232"/>
    </row>
    <row r="25" spans="1:9" ht="15">
      <c r="A25" t="s">
        <v>330</v>
      </c>
      <c r="B25" s="406"/>
      <c r="C25" s="441"/>
      <c r="D25" s="442"/>
      <c r="E25" s="406"/>
      <c r="G25" s="231"/>
      <c r="H25" s="231"/>
      <c r="I25" s="232"/>
    </row>
    <row r="26" spans="1:9" ht="15">
      <c r="A26" t="s">
        <v>312</v>
      </c>
      <c r="B26" s="406"/>
      <c r="C26" s="441"/>
      <c r="D26" s="442"/>
      <c r="E26" s="406"/>
      <c r="G26" s="231"/>
      <c r="H26" s="231"/>
      <c r="I26" s="232"/>
    </row>
    <row r="27" spans="2:7" ht="15">
      <c r="B27" s="406"/>
      <c r="D27" s="228"/>
      <c r="E27" s="406"/>
      <c r="G27" s="231"/>
    </row>
    <row r="28" spans="1:5" ht="12.75">
      <c r="A28" t="s">
        <v>313</v>
      </c>
      <c r="B28" s="440">
        <v>14809505</v>
      </c>
      <c r="D28" s="228" t="s">
        <v>314</v>
      </c>
      <c r="E28" s="440">
        <v>14809505</v>
      </c>
    </row>
    <row r="29" spans="1:5" ht="12.75">
      <c r="A29" s="233" t="s">
        <v>315</v>
      </c>
      <c r="B29" s="440"/>
      <c r="D29" s="228" t="s">
        <v>316</v>
      </c>
      <c r="E29" s="440"/>
    </row>
    <row r="30" spans="1:5" ht="25.5">
      <c r="A30" s="233" t="s">
        <v>317</v>
      </c>
      <c r="B30" s="440">
        <v>8797520</v>
      </c>
      <c r="D30" s="228" t="s">
        <v>318</v>
      </c>
      <c r="E30" s="440">
        <v>9040520</v>
      </c>
    </row>
    <row r="31" spans="1:5" ht="12.75">
      <c r="A31" s="233" t="s">
        <v>319</v>
      </c>
      <c r="B31" s="440">
        <v>1800000</v>
      </c>
      <c r="D31" s="228" t="s">
        <v>320</v>
      </c>
      <c r="E31" s="440">
        <v>2000000</v>
      </c>
    </row>
    <row r="32" spans="1:5" ht="15">
      <c r="A32" s="233" t="s">
        <v>624</v>
      </c>
      <c r="B32" s="406"/>
      <c r="D32" s="228" t="s">
        <v>323</v>
      </c>
      <c r="E32" s="406">
        <v>533400</v>
      </c>
    </row>
    <row r="33" spans="1:5" ht="15">
      <c r="A33" t="s">
        <v>528</v>
      </c>
      <c r="B33" s="406"/>
      <c r="D33" s="228" t="s">
        <v>529</v>
      </c>
      <c r="E33" s="406">
        <v>239497</v>
      </c>
    </row>
    <row r="34" spans="1:5" ht="15">
      <c r="A34" t="s">
        <v>625</v>
      </c>
      <c r="B34" s="406"/>
      <c r="D34" s="228"/>
      <c r="E34" s="406">
        <v>720505</v>
      </c>
    </row>
    <row r="35" spans="1:5" ht="14.25" customHeight="1">
      <c r="A35" t="s">
        <v>528</v>
      </c>
      <c r="B35" s="440">
        <v>496517</v>
      </c>
      <c r="D35" s="228" t="s">
        <v>529</v>
      </c>
      <c r="E35" s="406">
        <v>396274</v>
      </c>
    </row>
    <row r="36" spans="1:5" ht="14.25" customHeight="1">
      <c r="A36" t="s">
        <v>626</v>
      </c>
      <c r="B36" s="440"/>
      <c r="D36" s="228" t="s">
        <v>529</v>
      </c>
      <c r="E36" s="406">
        <v>139466</v>
      </c>
    </row>
    <row r="37" spans="1:5" s="235" customFormat="1" ht="15.75">
      <c r="A37" s="234" t="s">
        <v>587</v>
      </c>
      <c r="B37" s="229">
        <f>SUM(B28:B32)</f>
        <v>25407025</v>
      </c>
      <c r="C37" s="229">
        <f>SUM(C28:C32)</f>
        <v>0</v>
      </c>
      <c r="D37" s="229">
        <f>SUM(D28:D33)</f>
        <v>0</v>
      </c>
      <c r="E37" s="229">
        <f>SUM(E28:E36)</f>
        <v>27879167</v>
      </c>
    </row>
    <row r="38" spans="2:5" ht="15">
      <c r="B38" s="406"/>
      <c r="D38" s="228"/>
      <c r="E38" s="406"/>
    </row>
    <row r="39" spans="1:5" ht="15">
      <c r="A39" s="235" t="s">
        <v>321</v>
      </c>
      <c r="B39" s="406"/>
      <c r="D39" s="228"/>
      <c r="E39" s="406"/>
    </row>
    <row r="40" spans="1:5" ht="15">
      <c r="A40" s="321" t="s">
        <v>322</v>
      </c>
      <c r="B40" s="406"/>
      <c r="D40" s="228" t="s">
        <v>323</v>
      </c>
      <c r="E40" s="406"/>
    </row>
    <row r="41" spans="1:5" ht="15">
      <c r="A41" t="s">
        <v>324</v>
      </c>
      <c r="B41" s="406"/>
      <c r="D41" s="228" t="s">
        <v>325</v>
      </c>
      <c r="E41" s="406"/>
    </row>
    <row r="44" spans="2:5" ht="15">
      <c r="B44" s="440"/>
      <c r="D44" s="228"/>
      <c r="E44" s="406"/>
    </row>
    <row r="45" spans="1:5" ht="12.75">
      <c r="A45" t="s">
        <v>326</v>
      </c>
      <c r="B45" s="440">
        <v>798720</v>
      </c>
      <c r="D45" s="228" t="s">
        <v>327</v>
      </c>
      <c r="E45" s="440">
        <v>798720</v>
      </c>
    </row>
    <row r="46" spans="1:5" ht="12.75">
      <c r="A46" t="s">
        <v>328</v>
      </c>
      <c r="B46" s="440">
        <v>520000</v>
      </c>
      <c r="D46" s="228" t="s">
        <v>327</v>
      </c>
      <c r="E46" s="440">
        <v>520000</v>
      </c>
    </row>
    <row r="47" spans="1:5" ht="15">
      <c r="A47" t="s">
        <v>588</v>
      </c>
      <c r="B47" s="440"/>
      <c r="D47" s="228" t="s">
        <v>306</v>
      </c>
      <c r="E47" s="406">
        <v>1748135</v>
      </c>
    </row>
    <row r="48" spans="1:5" ht="12.75">
      <c r="A48" t="s">
        <v>530</v>
      </c>
      <c r="B48" s="440">
        <v>20000</v>
      </c>
      <c r="D48" s="228"/>
      <c r="E48" s="440">
        <v>20000</v>
      </c>
    </row>
    <row r="49" spans="1:5" ht="15">
      <c r="A49" t="s">
        <v>589</v>
      </c>
      <c r="B49" s="406"/>
      <c r="D49" s="228" t="s">
        <v>590</v>
      </c>
      <c r="E49" s="406">
        <v>122</v>
      </c>
    </row>
    <row r="50" spans="1:5" ht="12.75">
      <c r="A50" t="s">
        <v>531</v>
      </c>
      <c r="B50" s="440">
        <v>150000</v>
      </c>
      <c r="D50" s="228" t="s">
        <v>533</v>
      </c>
      <c r="E50" s="440">
        <v>150000</v>
      </c>
    </row>
    <row r="51" spans="1:5" ht="12.75">
      <c r="A51" t="s">
        <v>532</v>
      </c>
      <c r="B51" s="440">
        <v>1926000</v>
      </c>
      <c r="D51" s="228" t="s">
        <v>533</v>
      </c>
      <c r="E51" s="440">
        <v>0</v>
      </c>
    </row>
    <row r="52" spans="2:5" ht="15">
      <c r="B52" s="406"/>
      <c r="D52" s="228" t="s">
        <v>534</v>
      </c>
      <c r="E52" s="406"/>
    </row>
    <row r="53" spans="1:5" ht="15">
      <c r="A53" t="s">
        <v>591</v>
      </c>
      <c r="B53" s="406"/>
      <c r="D53" s="228" t="s">
        <v>592</v>
      </c>
      <c r="E53" s="406">
        <v>96223</v>
      </c>
    </row>
    <row r="54" spans="1:5" ht="15">
      <c r="A54" t="s">
        <v>535</v>
      </c>
      <c r="B54" s="406"/>
      <c r="D54" s="228" t="s">
        <v>536</v>
      </c>
      <c r="E54" s="406">
        <v>68895</v>
      </c>
    </row>
    <row r="55" spans="1:5" ht="15">
      <c r="A55" t="s">
        <v>629</v>
      </c>
      <c r="B55" s="406"/>
      <c r="D55" s="228" t="s">
        <v>630</v>
      </c>
      <c r="E55" s="406">
        <v>407222</v>
      </c>
    </row>
    <row r="57" spans="1:5" ht="14.25" customHeight="1">
      <c r="A57" t="s">
        <v>537</v>
      </c>
      <c r="B57" s="406"/>
      <c r="D57" s="228"/>
      <c r="E57" s="406"/>
    </row>
    <row r="58" spans="1:5" ht="14.25" customHeight="1">
      <c r="A58" t="s">
        <v>538</v>
      </c>
      <c r="B58" s="406"/>
      <c r="D58" s="228"/>
      <c r="E58" s="406"/>
    </row>
    <row r="59" spans="1:5" ht="14.25" customHeight="1">
      <c r="A59" t="s">
        <v>539</v>
      </c>
      <c r="B59" s="406"/>
      <c r="D59" s="228"/>
      <c r="E59" s="406"/>
    </row>
    <row r="60" spans="1:5" ht="15.75" thickBot="1">
      <c r="A60" t="s">
        <v>540</v>
      </c>
      <c r="B60" s="407"/>
      <c r="D60" s="386"/>
      <c r="E60" s="407"/>
    </row>
    <row r="61" spans="1:5" ht="15">
      <c r="A61" t="s">
        <v>541</v>
      </c>
      <c r="B61" s="408">
        <v>9319819</v>
      </c>
      <c r="D61" s="372" t="s">
        <v>593</v>
      </c>
      <c r="E61" s="408">
        <v>9319819</v>
      </c>
    </row>
    <row r="62" spans="1:5" ht="15">
      <c r="A62" t="s">
        <v>594</v>
      </c>
      <c r="B62" s="408"/>
      <c r="D62" s="372" t="s">
        <v>593</v>
      </c>
      <c r="E62" s="408">
        <v>2454297</v>
      </c>
    </row>
    <row r="63" spans="1:5" ht="15">
      <c r="A63" t="s">
        <v>595</v>
      </c>
      <c r="B63" s="408"/>
      <c r="D63" s="372" t="s">
        <v>593</v>
      </c>
      <c r="E63" s="408">
        <v>6989864</v>
      </c>
    </row>
    <row r="64" spans="1:5" ht="15">
      <c r="A64" t="s">
        <v>627</v>
      </c>
      <c r="B64" s="408"/>
      <c r="D64" s="372" t="s">
        <v>593</v>
      </c>
      <c r="E64" s="408">
        <v>258982</v>
      </c>
    </row>
    <row r="65" spans="1:5" ht="15.75" thickBot="1">
      <c r="A65" t="s">
        <v>628</v>
      </c>
      <c r="B65" s="408"/>
      <c r="D65" s="372" t="s">
        <v>593</v>
      </c>
      <c r="E65" s="408">
        <v>29953228</v>
      </c>
    </row>
    <row r="66" spans="1:5" s="412" customFormat="1" ht="16.5" thickBot="1">
      <c r="A66" s="409" t="s">
        <v>596</v>
      </c>
      <c r="B66" s="262"/>
      <c r="C66" s="410"/>
      <c r="D66" s="262" t="s">
        <v>593</v>
      </c>
      <c r="E66" s="411">
        <f>E61+E62+E63+E64+E65</f>
        <v>48976190</v>
      </c>
    </row>
    <row r="67" spans="1:5" ht="18.75" thickBot="1">
      <c r="A67" s="236" t="s">
        <v>329</v>
      </c>
      <c r="B67" s="237">
        <f>B45+B46+B48+B50+B37+B17+B15+B61+B51</f>
        <v>90380433</v>
      </c>
      <c r="C67" s="237"/>
      <c r="D67" s="237"/>
      <c r="E67" s="237">
        <f>E6+E7+E8+E9+E10+E11+E17+E28+E30+E31+E32+E33+E34+E35+E36+E45+E46+E47+E48+E49+E50+E51+E53+E54+E61+E62+E63+E64+E65+E55</f>
        <v>133177582</v>
      </c>
    </row>
    <row r="68" spans="2:5" ht="15">
      <c r="B68" s="406"/>
      <c r="D68" s="228"/>
      <c r="E68" s="406"/>
    </row>
    <row r="73" ht="15">
      <c r="B73" s="439"/>
    </row>
    <row r="74" ht="15">
      <c r="B74" s="439"/>
    </row>
    <row r="76" ht="15">
      <c r="B76" s="439"/>
    </row>
    <row r="77" ht="15">
      <c r="B77" s="4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3" max="3" width="29.375" style="0" customWidth="1"/>
    <col min="4" max="4" width="20.00390625" style="228" customWidth="1"/>
    <col min="5" max="5" width="24.625" style="0" customWidth="1"/>
    <col min="6" max="6" width="19.125" style="0" customWidth="1"/>
  </cols>
  <sheetData>
    <row r="1" spans="1:6" ht="13.5" thickBot="1">
      <c r="A1" s="864" t="s">
        <v>456</v>
      </c>
      <c r="B1" s="864"/>
      <c r="C1" s="864"/>
      <c r="D1" s="864"/>
      <c r="E1" s="864"/>
      <c r="F1" s="864"/>
    </row>
    <row r="2" spans="1:6" ht="15.75">
      <c r="A2" s="865" t="s">
        <v>542</v>
      </c>
      <c r="B2" s="866"/>
      <c r="C2" s="866"/>
      <c r="D2" s="866"/>
      <c r="E2" s="866"/>
      <c r="F2" s="866"/>
    </row>
    <row r="3" spans="1:6" ht="16.5" thickBot="1">
      <c r="A3" s="867" t="s">
        <v>457</v>
      </c>
      <c r="B3" s="868"/>
      <c r="C3" s="868"/>
      <c r="D3" s="868"/>
      <c r="E3" s="868"/>
      <c r="F3" s="868"/>
    </row>
    <row r="4" ht="13.5" thickBot="1">
      <c r="F4" t="s">
        <v>462</v>
      </c>
    </row>
    <row r="5" spans="1:6" s="321" customFormat="1" ht="59.25" customHeight="1" thickBot="1">
      <c r="A5" s="861"/>
      <c r="B5" s="862"/>
      <c r="C5" s="863"/>
      <c r="D5" s="262" t="s">
        <v>458</v>
      </c>
      <c r="E5" s="319" t="s">
        <v>549</v>
      </c>
      <c r="F5" s="319" t="s">
        <v>459</v>
      </c>
    </row>
    <row r="6" spans="1:6" ht="27.75" customHeight="1" thickBot="1">
      <c r="A6" s="858" t="s">
        <v>544</v>
      </c>
      <c r="B6" s="859"/>
      <c r="C6" s="860"/>
      <c r="D6" s="317">
        <v>164030</v>
      </c>
      <c r="E6" s="317"/>
      <c r="F6" s="317">
        <v>164030</v>
      </c>
    </row>
    <row r="7" spans="1:6" ht="13.5" thickBot="1">
      <c r="A7" s="858" t="s">
        <v>545</v>
      </c>
      <c r="B7" s="859"/>
      <c r="C7" s="860"/>
      <c r="D7" s="227">
        <v>39080963</v>
      </c>
      <c r="E7" s="227">
        <f>10495487+14925537</f>
        <v>25421024</v>
      </c>
      <c r="F7" s="227">
        <v>13659939</v>
      </c>
    </row>
    <row r="8" spans="1:6" ht="13.5" thickBot="1">
      <c r="A8" s="858" t="s">
        <v>546</v>
      </c>
      <c r="B8" s="859"/>
      <c r="C8" s="860"/>
      <c r="D8" s="227">
        <v>42690</v>
      </c>
      <c r="E8" s="227"/>
      <c r="F8" s="227">
        <v>42690</v>
      </c>
    </row>
    <row r="9" spans="1:6" ht="13.5" thickBot="1">
      <c r="A9" s="858" t="s">
        <v>547</v>
      </c>
      <c r="B9" s="859"/>
      <c r="C9" s="860"/>
      <c r="D9" s="227">
        <v>999</v>
      </c>
      <c r="E9" s="227"/>
      <c r="F9" s="227">
        <v>999</v>
      </c>
    </row>
    <row r="10" spans="1:6" ht="13.5" thickBot="1">
      <c r="A10" s="858" t="s">
        <v>548</v>
      </c>
      <c r="B10" s="859"/>
      <c r="C10" s="860"/>
      <c r="D10" s="227">
        <v>1117343</v>
      </c>
      <c r="E10" s="227"/>
      <c r="F10" s="227">
        <v>1117343</v>
      </c>
    </row>
    <row r="11" spans="1:6" ht="16.5" thickBot="1">
      <c r="A11" s="869" t="s">
        <v>460</v>
      </c>
      <c r="B11" s="870"/>
      <c r="C11" s="871"/>
      <c r="D11" s="317">
        <v>19700</v>
      </c>
      <c r="E11" s="320"/>
      <c r="F11" s="317">
        <v>19700</v>
      </c>
    </row>
    <row r="12" spans="1:6" ht="16.5" thickBot="1">
      <c r="A12" s="861" t="s">
        <v>254</v>
      </c>
      <c r="B12" s="862"/>
      <c r="C12" s="863"/>
      <c r="D12" s="318">
        <f>SUM(D6:D11)</f>
        <v>40425725</v>
      </c>
      <c r="E12" s="318">
        <f>SUM(E6:E11)</f>
        <v>25421024</v>
      </c>
      <c r="F12" s="318">
        <f>SUM(F6:F11)</f>
        <v>15004701</v>
      </c>
    </row>
  </sheetData>
  <sheetProtection/>
  <mergeCells count="11">
    <mergeCell ref="A7:C7"/>
    <mergeCell ref="A8:C8"/>
    <mergeCell ref="A9:C9"/>
    <mergeCell ref="A5:C5"/>
    <mergeCell ref="A6:C6"/>
    <mergeCell ref="A12:C12"/>
    <mergeCell ref="A1:F1"/>
    <mergeCell ref="A2:F2"/>
    <mergeCell ref="A3:F3"/>
    <mergeCell ref="A10:C10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C1">
      <selection activeCell="F18" sqref="F18"/>
    </sheetView>
  </sheetViews>
  <sheetFormatPr defaultColWidth="9.00390625" defaultRowHeight="12.75"/>
  <cols>
    <col min="3" max="3" width="29.375" style="0" customWidth="1"/>
    <col min="4" max="4" width="20.00390625" style="228" customWidth="1"/>
    <col min="5" max="5" width="24.625" style="0" customWidth="1"/>
    <col min="6" max="6" width="19.125" style="0" customWidth="1"/>
  </cols>
  <sheetData>
    <row r="1" spans="1:6" ht="13.5" thickBot="1">
      <c r="A1" s="864" t="s">
        <v>457</v>
      </c>
      <c r="B1" s="864"/>
      <c r="C1" s="864"/>
      <c r="D1" s="864"/>
      <c r="E1" s="864"/>
      <c r="F1" s="864"/>
    </row>
    <row r="2" spans="1:6" ht="15.75">
      <c r="A2" s="865" t="s">
        <v>542</v>
      </c>
      <c r="B2" s="866"/>
      <c r="C2" s="866"/>
      <c r="D2" s="866"/>
      <c r="E2" s="866"/>
      <c r="F2" s="866"/>
    </row>
    <row r="3" spans="1:6" ht="16.5" thickBot="1">
      <c r="A3" s="867" t="s">
        <v>457</v>
      </c>
      <c r="B3" s="868"/>
      <c r="C3" s="868"/>
      <c r="D3" s="868"/>
      <c r="E3" s="868"/>
      <c r="F3" s="868"/>
    </row>
    <row r="4" ht="13.5" thickBot="1">
      <c r="F4" t="s">
        <v>461</v>
      </c>
    </row>
    <row r="5" spans="1:6" s="321" customFormat="1" ht="48" thickBot="1">
      <c r="A5" s="861"/>
      <c r="B5" s="862"/>
      <c r="C5" s="863"/>
      <c r="D5" s="262" t="s">
        <v>458</v>
      </c>
      <c r="E5" s="319" t="s">
        <v>543</v>
      </c>
      <c r="F5" s="319" t="s">
        <v>459</v>
      </c>
    </row>
    <row r="6" spans="1:6" ht="13.5" thickBot="1">
      <c r="A6" s="858" t="s">
        <v>544</v>
      </c>
      <c r="B6" s="859"/>
      <c r="C6" s="860"/>
      <c r="D6" s="317">
        <v>164030</v>
      </c>
      <c r="E6" s="317"/>
      <c r="F6" s="317">
        <v>164030</v>
      </c>
    </row>
    <row r="7" spans="1:6" ht="13.5" thickBot="1">
      <c r="A7" s="858" t="s">
        <v>545</v>
      </c>
      <c r="B7" s="859"/>
      <c r="C7" s="860"/>
      <c r="D7" s="227">
        <v>39080963</v>
      </c>
      <c r="E7" s="227">
        <f>10495487+14925537</f>
        <v>25421024</v>
      </c>
      <c r="F7" s="227">
        <v>13659939</v>
      </c>
    </row>
    <row r="8" spans="1:6" ht="13.5" thickBot="1">
      <c r="A8" s="858" t="s">
        <v>546</v>
      </c>
      <c r="B8" s="859"/>
      <c r="C8" s="860"/>
      <c r="D8" s="227">
        <v>42690</v>
      </c>
      <c r="E8" s="227"/>
      <c r="F8" s="227">
        <v>42690</v>
      </c>
    </row>
    <row r="9" spans="1:6" ht="13.5" thickBot="1">
      <c r="A9" s="858" t="s">
        <v>547</v>
      </c>
      <c r="B9" s="859"/>
      <c r="C9" s="860"/>
      <c r="D9" s="227">
        <v>999</v>
      </c>
      <c r="E9" s="227"/>
      <c r="F9" s="227">
        <v>999</v>
      </c>
    </row>
    <row r="10" spans="1:6" ht="31.5" customHeight="1" thickBot="1">
      <c r="A10" s="858" t="s">
        <v>548</v>
      </c>
      <c r="B10" s="859"/>
      <c r="C10" s="860"/>
      <c r="D10" s="227">
        <v>1117343</v>
      </c>
      <c r="E10" s="227"/>
      <c r="F10" s="227">
        <v>1117343</v>
      </c>
    </row>
    <row r="11" spans="1:6" ht="28.5" customHeight="1" thickBot="1">
      <c r="A11" s="869" t="s">
        <v>460</v>
      </c>
      <c r="B11" s="870"/>
      <c r="C11" s="871"/>
      <c r="D11" s="317">
        <v>19700</v>
      </c>
      <c r="E11" s="320"/>
      <c r="F11" s="317">
        <v>19700</v>
      </c>
    </row>
    <row r="12" spans="1:6" ht="16.5" thickBot="1">
      <c r="A12" s="861" t="s">
        <v>254</v>
      </c>
      <c r="B12" s="862"/>
      <c r="C12" s="863"/>
      <c r="D12" s="318">
        <f>SUM(D6:D11)</f>
        <v>40425725</v>
      </c>
      <c r="E12" s="318">
        <f>SUM(E6:E11)</f>
        <v>25421024</v>
      </c>
      <c r="F12" s="318">
        <f>SUM(F6:F11)</f>
        <v>15004701</v>
      </c>
    </row>
  </sheetData>
  <sheetProtection/>
  <mergeCells count="11">
    <mergeCell ref="A8:C8"/>
    <mergeCell ref="A1:F1"/>
    <mergeCell ref="A2:F2"/>
    <mergeCell ref="A3:F3"/>
    <mergeCell ref="A11:C11"/>
    <mergeCell ref="A12:C12"/>
    <mergeCell ref="A9:C9"/>
    <mergeCell ref="A10:C10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6"/>
  <sheetViews>
    <sheetView zoomScalePageLayoutView="0" workbookViewId="0" topLeftCell="C76">
      <selection activeCell="H22" sqref="H22"/>
    </sheetView>
  </sheetViews>
  <sheetFormatPr defaultColWidth="9.00390625" defaultRowHeight="12.75"/>
  <cols>
    <col min="1" max="1" width="6.00390625" style="2" customWidth="1"/>
    <col min="2" max="2" width="5.125" style="1" customWidth="1"/>
    <col min="3" max="3" width="69.125" style="1" customWidth="1"/>
    <col min="4" max="4" width="18.125" style="2" customWidth="1"/>
    <col min="5" max="5" width="21.75390625" style="2" customWidth="1"/>
    <col min="6" max="6" width="18.75390625" style="2" customWidth="1"/>
    <col min="7" max="7" width="18.875" style="11" bestFit="1" customWidth="1"/>
    <col min="8" max="8" width="18.875" style="11" customWidth="1"/>
    <col min="9" max="9" width="21.625" style="11" customWidth="1"/>
    <col min="10" max="10" width="15.75390625" style="11" bestFit="1" customWidth="1"/>
    <col min="11" max="16384" width="9.125" style="11" customWidth="1"/>
  </cols>
  <sheetData>
    <row r="1" spans="1:6" ht="19.5" customHeight="1">
      <c r="A1" s="499" t="s">
        <v>463</v>
      </c>
      <c r="B1" s="500"/>
      <c r="C1" s="500"/>
      <c r="D1" s="500"/>
      <c r="E1" s="500"/>
      <c r="F1" s="500"/>
    </row>
    <row r="2" spans="1:6" ht="19.5" customHeight="1">
      <c r="A2" s="474"/>
      <c r="B2" s="474"/>
      <c r="C2" s="474"/>
      <c r="D2" s="474"/>
      <c r="E2" s="474"/>
      <c r="F2" s="474"/>
    </row>
    <row r="3" spans="1:6" ht="19.5" customHeight="1">
      <c r="A3" s="501" t="s">
        <v>220</v>
      </c>
      <c r="B3" s="501"/>
      <c r="C3" s="501"/>
      <c r="D3" s="501"/>
      <c r="E3" s="501"/>
      <c r="F3" s="501"/>
    </row>
    <row r="4" spans="1:6" ht="19.5" customHeight="1">
      <c r="A4" s="474" t="s">
        <v>183</v>
      </c>
      <c r="B4" s="474"/>
      <c r="C4" s="474"/>
      <c r="D4" s="474"/>
      <c r="E4" s="474"/>
      <c r="F4" s="474"/>
    </row>
    <row r="5" spans="1:6" ht="39" customHeight="1" thickBot="1">
      <c r="A5" s="502" t="s">
        <v>215</v>
      </c>
      <c r="B5" s="502"/>
      <c r="C5" s="502"/>
      <c r="D5" s="502"/>
      <c r="E5" s="502"/>
      <c r="F5" s="502"/>
    </row>
    <row r="6" spans="1:9" ht="19.5" customHeight="1">
      <c r="A6" s="503" t="s">
        <v>184</v>
      </c>
      <c r="B6" s="495" t="s">
        <v>171</v>
      </c>
      <c r="C6" s="495"/>
      <c r="D6" s="478" t="s">
        <v>231</v>
      </c>
      <c r="E6" s="480" t="s">
        <v>232</v>
      </c>
      <c r="F6" s="480" t="s">
        <v>233</v>
      </c>
      <c r="G6" s="478" t="s">
        <v>231</v>
      </c>
      <c r="H6" s="480" t="s">
        <v>232</v>
      </c>
      <c r="I6" s="480" t="s">
        <v>233</v>
      </c>
    </row>
    <row r="7" spans="1:9" ht="38.25" customHeight="1">
      <c r="A7" s="504"/>
      <c r="B7" s="506"/>
      <c r="C7" s="506"/>
      <c r="D7" s="479"/>
      <c r="E7" s="481"/>
      <c r="F7" s="481"/>
      <c r="G7" s="479"/>
      <c r="H7" s="481"/>
      <c r="I7" s="481"/>
    </row>
    <row r="8" spans="1:9" ht="22.5" customHeight="1" thickBot="1">
      <c r="A8" s="505"/>
      <c r="B8" s="507"/>
      <c r="C8" s="507"/>
      <c r="D8" s="482" t="s">
        <v>464</v>
      </c>
      <c r="E8" s="483"/>
      <c r="F8" s="483"/>
      <c r="G8" s="482" t="s">
        <v>551</v>
      </c>
      <c r="H8" s="483"/>
      <c r="I8" s="483"/>
    </row>
    <row r="9" spans="1:9" ht="15.75" customHeight="1">
      <c r="A9" s="312"/>
      <c r="B9" s="495" t="s">
        <v>185</v>
      </c>
      <c r="C9" s="495"/>
      <c r="D9" s="182"/>
      <c r="E9" s="177"/>
      <c r="F9" s="175"/>
      <c r="G9" s="182"/>
      <c r="H9" s="177"/>
      <c r="I9" s="175"/>
    </row>
    <row r="10" spans="1:9" ht="15.75" customHeight="1">
      <c r="A10" s="9">
        <v>1</v>
      </c>
      <c r="B10" s="490" t="s">
        <v>172</v>
      </c>
      <c r="C10" s="490"/>
      <c r="D10" s="178">
        <v>11829268</v>
      </c>
      <c r="E10" s="178">
        <v>11829268</v>
      </c>
      <c r="F10" s="117"/>
      <c r="G10" s="178">
        <v>13094268</v>
      </c>
      <c r="H10" s="178">
        <v>13094268</v>
      </c>
      <c r="I10" s="117"/>
    </row>
    <row r="11" spans="1:9" ht="15.75" customHeight="1">
      <c r="A11" s="9">
        <v>2</v>
      </c>
      <c r="B11" s="490" t="s">
        <v>180</v>
      </c>
      <c r="C11" s="490"/>
      <c r="D11" s="178">
        <v>2111214</v>
      </c>
      <c r="E11" s="178">
        <v>2111214</v>
      </c>
      <c r="F11" s="117"/>
      <c r="G11" s="178">
        <v>2320489</v>
      </c>
      <c r="H11" s="178">
        <v>2320489</v>
      </c>
      <c r="I11" s="117"/>
    </row>
    <row r="12" spans="1:9" ht="15.75" customHeight="1">
      <c r="A12" s="9">
        <v>3</v>
      </c>
      <c r="B12" s="490" t="s">
        <v>181</v>
      </c>
      <c r="C12" s="490"/>
      <c r="D12" s="178">
        <v>19642520</v>
      </c>
      <c r="E12" s="178">
        <v>19642520</v>
      </c>
      <c r="F12" s="117"/>
      <c r="G12" s="178">
        <v>30561957</v>
      </c>
      <c r="H12" s="178">
        <v>30561957</v>
      </c>
      <c r="I12" s="117"/>
    </row>
    <row r="13" spans="1:9" ht="15.75" customHeight="1">
      <c r="A13" s="9" t="s">
        <v>39</v>
      </c>
      <c r="B13" s="490" t="s">
        <v>164</v>
      </c>
      <c r="C13" s="490"/>
      <c r="D13" s="188"/>
      <c r="E13" s="188"/>
      <c r="F13" s="186"/>
      <c r="G13" s="188"/>
      <c r="H13" s="188"/>
      <c r="I13" s="186"/>
    </row>
    <row r="14" spans="1:9" ht="15.75" customHeight="1">
      <c r="A14" s="9" t="s">
        <v>40</v>
      </c>
      <c r="B14" s="496" t="s">
        <v>158</v>
      </c>
      <c r="C14" s="496"/>
      <c r="D14" s="188">
        <f>+D15+D16+D17+D18+D19</f>
        <v>6264508</v>
      </c>
      <c r="E14" s="13">
        <f>+E15+E16+E17+E18+E19</f>
        <v>3730508</v>
      </c>
      <c r="F14" s="178">
        <f>SUM(F15:F19)</f>
        <v>2534000</v>
      </c>
      <c r="G14" s="188">
        <f>+G15+G16+G17+G18+G19</f>
        <v>6530475</v>
      </c>
      <c r="H14" s="13">
        <f>+H15+H16+H17+H18+H19</f>
        <v>3383475</v>
      </c>
      <c r="I14" s="178">
        <f>SUM(I15:I19)</f>
        <v>3147000</v>
      </c>
    </row>
    <row r="15" spans="1:9" ht="15.75" customHeight="1">
      <c r="A15" s="9" t="s">
        <v>150</v>
      </c>
      <c r="B15" s="497" t="s">
        <v>153</v>
      </c>
      <c r="C15" s="497"/>
      <c r="D15" s="178"/>
      <c r="E15" s="178"/>
      <c r="F15" s="186"/>
      <c r="G15" s="178"/>
      <c r="H15" s="178"/>
      <c r="I15" s="186"/>
    </row>
    <row r="16" spans="1:9" ht="15.75" customHeight="1">
      <c r="A16" s="9" t="s">
        <v>151</v>
      </c>
      <c r="B16" s="497" t="s">
        <v>214</v>
      </c>
      <c r="C16" s="497"/>
      <c r="D16" s="178">
        <f>E16+F16</f>
        <v>2668508</v>
      </c>
      <c r="E16" s="178">
        <v>1833508</v>
      </c>
      <c r="F16" s="186">
        <v>835000</v>
      </c>
      <c r="G16" s="178">
        <f>H16+I16</f>
        <v>2577545</v>
      </c>
      <c r="H16" s="178">
        <v>1742545</v>
      </c>
      <c r="I16" s="186">
        <v>835000</v>
      </c>
    </row>
    <row r="17" spans="1:9" ht="15.75" customHeight="1">
      <c r="A17" s="9"/>
      <c r="B17" s="498" t="s">
        <v>230</v>
      </c>
      <c r="C17" s="498"/>
      <c r="D17" s="178">
        <v>0</v>
      </c>
      <c r="E17" s="178">
        <v>0</v>
      </c>
      <c r="F17" s="186"/>
      <c r="G17" s="178">
        <v>113930</v>
      </c>
      <c r="H17" s="178">
        <v>113930</v>
      </c>
      <c r="I17" s="186"/>
    </row>
    <row r="18" spans="1:9" ht="15.75" customHeight="1">
      <c r="A18" s="9" t="s">
        <v>152</v>
      </c>
      <c r="B18" s="493" t="s">
        <v>154</v>
      </c>
      <c r="C18" s="493"/>
      <c r="D18" s="178">
        <f>E18+F18</f>
        <v>3596000</v>
      </c>
      <c r="E18" s="178">
        <v>1897000</v>
      </c>
      <c r="F18" s="186">
        <v>1699000</v>
      </c>
      <c r="G18" s="178">
        <f>H18+I18</f>
        <v>3839000</v>
      </c>
      <c r="H18" s="178">
        <v>1527000</v>
      </c>
      <c r="I18" s="186">
        <v>2312000</v>
      </c>
    </row>
    <row r="19" spans="1:9" ht="15.75" customHeight="1">
      <c r="A19" s="9" t="s">
        <v>61</v>
      </c>
      <c r="B19" s="493" t="s">
        <v>62</v>
      </c>
      <c r="C19" s="494"/>
      <c r="D19" s="178">
        <f>SUM(E19:F19)</f>
        <v>0</v>
      </c>
      <c r="E19" s="178">
        <f>SUM(F19:G19)</f>
        <v>0</v>
      </c>
      <c r="F19" s="186"/>
      <c r="G19" s="178">
        <f>SUM(H19:I19)</f>
        <v>0</v>
      </c>
      <c r="H19" s="178">
        <f>SUM(I19:J19)</f>
        <v>0</v>
      </c>
      <c r="I19" s="186"/>
    </row>
    <row r="20" spans="1:10" ht="15.75" customHeight="1">
      <c r="A20" s="9"/>
      <c r="B20" s="490" t="s">
        <v>465</v>
      </c>
      <c r="C20" s="490"/>
      <c r="D20" s="178">
        <v>25421024</v>
      </c>
      <c r="E20" s="178">
        <v>25421024</v>
      </c>
      <c r="F20" s="186"/>
      <c r="G20" s="178">
        <v>0</v>
      </c>
      <c r="H20" s="178">
        <v>0</v>
      </c>
      <c r="I20" s="186"/>
      <c r="J20" s="221"/>
    </row>
    <row r="21" spans="1:9" ht="15.75" customHeight="1">
      <c r="A21" s="9"/>
      <c r="B21" s="490" t="s">
        <v>211</v>
      </c>
      <c r="C21" s="490"/>
      <c r="D21" s="178">
        <v>8275799</v>
      </c>
      <c r="E21" s="178">
        <v>8275799</v>
      </c>
      <c r="F21" s="186"/>
      <c r="G21" s="178">
        <v>5573383</v>
      </c>
      <c r="H21" s="178">
        <v>5573383</v>
      </c>
      <c r="I21" s="186"/>
    </row>
    <row r="22" spans="1:9" ht="15.75" customHeight="1">
      <c r="A22" s="9" t="s">
        <v>177</v>
      </c>
      <c r="B22" s="210" t="s">
        <v>149</v>
      </c>
      <c r="C22" s="85"/>
      <c r="D22" s="188">
        <f>+D10+D11+D12+D13+D14+D21+D20</f>
        <v>73544333</v>
      </c>
      <c r="E22" s="13">
        <f>+E10+E11+E12+E13+E14+E21+E20</f>
        <v>71010333</v>
      </c>
      <c r="F22" s="178">
        <f>+F10+F11+F12+F13+F14+F21</f>
        <v>2534000</v>
      </c>
      <c r="G22" s="188">
        <f>+G10+G11+G12+G13+G14+G21+G20</f>
        <v>58080572</v>
      </c>
      <c r="H22" s="13">
        <f>+H10+H11+H12+H13+H14+H21+H20</f>
        <v>54933572</v>
      </c>
      <c r="I22" s="178">
        <f>+I10+I11+I12+I13+I14+I21</f>
        <v>3147000</v>
      </c>
    </row>
    <row r="23" spans="1:9" ht="15.75" customHeight="1">
      <c r="A23" s="9" t="s">
        <v>41</v>
      </c>
      <c r="B23" s="490" t="s">
        <v>174</v>
      </c>
      <c r="C23" s="490"/>
      <c r="D23" s="189">
        <v>11819819</v>
      </c>
      <c r="E23" s="189">
        <v>11819819</v>
      </c>
      <c r="F23" s="186"/>
      <c r="G23" s="189">
        <v>9279274</v>
      </c>
      <c r="H23" s="189">
        <v>9279274</v>
      </c>
      <c r="I23" s="186"/>
    </row>
    <row r="24" spans="1:9" ht="15.75" customHeight="1">
      <c r="A24" s="9" t="s">
        <v>42</v>
      </c>
      <c r="B24" s="490" t="s">
        <v>173</v>
      </c>
      <c r="C24" s="490"/>
      <c r="D24" s="189">
        <v>4000000</v>
      </c>
      <c r="E24" s="189">
        <v>4000000</v>
      </c>
      <c r="F24" s="186"/>
      <c r="G24" s="189">
        <v>64732560</v>
      </c>
      <c r="H24" s="189">
        <v>64732560</v>
      </c>
      <c r="I24" s="186"/>
    </row>
    <row r="25" spans="1:9" ht="15.75" customHeight="1">
      <c r="A25" s="9" t="s">
        <v>43</v>
      </c>
      <c r="B25" s="490" t="s">
        <v>155</v>
      </c>
      <c r="C25" s="490"/>
      <c r="D25" s="189"/>
      <c r="E25" s="202"/>
      <c r="F25" s="186"/>
      <c r="G25" s="189"/>
      <c r="H25" s="202"/>
      <c r="I25" s="186"/>
    </row>
    <row r="26" spans="1:9" ht="15.75" customHeight="1">
      <c r="A26" s="9" t="s">
        <v>178</v>
      </c>
      <c r="B26" s="490" t="s">
        <v>212</v>
      </c>
      <c r="C26" s="490"/>
      <c r="D26" s="189">
        <f>+D23+D24+D25</f>
        <v>15819819</v>
      </c>
      <c r="E26" s="202">
        <f>+E23+E24+E25</f>
        <v>15819819</v>
      </c>
      <c r="F26" s="186"/>
      <c r="G26" s="189">
        <f>+G23+G24+G25</f>
        <v>74011834</v>
      </c>
      <c r="H26" s="202">
        <f>+H23+H24+H25</f>
        <v>74011834</v>
      </c>
      <c r="I26" s="186"/>
    </row>
    <row r="27" spans="1:9" ht="15.75" customHeight="1">
      <c r="A27" s="9" t="s">
        <v>179</v>
      </c>
      <c r="B27" s="490"/>
      <c r="C27" s="490"/>
      <c r="D27" s="189"/>
      <c r="E27" s="202"/>
      <c r="F27" s="186"/>
      <c r="G27" s="189"/>
      <c r="H27" s="202"/>
      <c r="I27" s="186"/>
    </row>
    <row r="28" spans="1:9" ht="15.75" customHeight="1">
      <c r="A28" s="9" t="s">
        <v>165</v>
      </c>
      <c r="B28" s="491" t="s">
        <v>466</v>
      </c>
      <c r="C28" s="491"/>
      <c r="D28" s="190">
        <v>1016281</v>
      </c>
      <c r="E28" s="203">
        <v>1016281</v>
      </c>
      <c r="F28" s="186">
        <v>0</v>
      </c>
      <c r="G28" s="190">
        <v>1085176</v>
      </c>
      <c r="H28" s="203">
        <v>1085176</v>
      </c>
      <c r="I28" s="186">
        <v>0</v>
      </c>
    </row>
    <row r="29" spans="1:9" ht="15.75" customHeight="1">
      <c r="A29" s="9" t="s">
        <v>166</v>
      </c>
      <c r="B29" s="491"/>
      <c r="C29" s="491"/>
      <c r="D29" s="190"/>
      <c r="E29" s="203"/>
      <c r="F29" s="186">
        <f>+D29+E29</f>
        <v>0</v>
      </c>
      <c r="G29" s="190"/>
      <c r="H29" s="203"/>
      <c r="I29" s="186">
        <f>+G29+H29</f>
        <v>0</v>
      </c>
    </row>
    <row r="30" spans="1:9" ht="15.75" customHeight="1">
      <c r="A30" s="86" t="s">
        <v>156</v>
      </c>
      <c r="B30" s="486" t="s">
        <v>157</v>
      </c>
      <c r="C30" s="486"/>
      <c r="D30" s="191">
        <f aca="true" t="shared" si="0" ref="D30:I30">+D22+D26+D27+D28+D29</f>
        <v>90380433</v>
      </c>
      <c r="E30" s="205">
        <f t="shared" si="0"/>
        <v>87846433</v>
      </c>
      <c r="F30" s="196">
        <f t="shared" si="0"/>
        <v>2534000</v>
      </c>
      <c r="G30" s="191">
        <f t="shared" si="0"/>
        <v>133177582</v>
      </c>
      <c r="H30" s="205">
        <f t="shared" si="0"/>
        <v>130030582</v>
      </c>
      <c r="I30" s="196">
        <f t="shared" si="0"/>
        <v>3147000</v>
      </c>
    </row>
    <row r="31" spans="1:9" ht="15.75" customHeight="1">
      <c r="A31" s="18"/>
      <c r="B31" s="492"/>
      <c r="C31" s="492"/>
      <c r="D31" s="192"/>
      <c r="E31" s="19"/>
      <c r="F31" s="181"/>
      <c r="G31" s="192"/>
      <c r="H31" s="19"/>
      <c r="I31" s="181"/>
    </row>
    <row r="32" spans="1:9" ht="15.75" customHeight="1">
      <c r="A32" s="9"/>
      <c r="B32" s="489" t="s">
        <v>186</v>
      </c>
      <c r="C32" s="489"/>
      <c r="D32" s="189"/>
      <c r="E32" s="202"/>
      <c r="F32" s="186"/>
      <c r="G32" s="189"/>
      <c r="H32" s="202"/>
      <c r="I32" s="186"/>
    </row>
    <row r="33" spans="1:9" ht="15.75" customHeight="1">
      <c r="A33" s="9" t="s">
        <v>29</v>
      </c>
      <c r="B33" s="487" t="s">
        <v>210</v>
      </c>
      <c r="C33" s="487"/>
      <c r="D33" s="314">
        <v>3414720</v>
      </c>
      <c r="E33" s="314">
        <v>3414720</v>
      </c>
      <c r="F33" s="186"/>
      <c r="G33" s="314">
        <v>3644199</v>
      </c>
      <c r="H33" s="314">
        <v>3644199</v>
      </c>
      <c r="I33" s="186"/>
    </row>
    <row r="34" spans="1:9" ht="15.75" customHeight="1">
      <c r="A34" s="9" t="s">
        <v>37</v>
      </c>
      <c r="B34" s="487" t="s">
        <v>182</v>
      </c>
      <c r="C34" s="487"/>
      <c r="D34" s="314">
        <v>11600000</v>
      </c>
      <c r="E34" s="314">
        <v>11600000</v>
      </c>
      <c r="F34" s="179">
        <f>SUM(F35:F37)</f>
        <v>0</v>
      </c>
      <c r="G34" s="314">
        <v>11874039</v>
      </c>
      <c r="H34" s="314">
        <v>11874039</v>
      </c>
      <c r="I34" s="179">
        <f>SUM(I35:I37)</f>
        <v>0</v>
      </c>
    </row>
    <row r="35" spans="1:9" ht="15.75" customHeight="1">
      <c r="A35" s="9"/>
      <c r="B35" s="150" t="s">
        <v>63</v>
      </c>
      <c r="C35" s="80" t="s">
        <v>160</v>
      </c>
      <c r="D35" s="314">
        <v>10800000</v>
      </c>
      <c r="E35" s="314">
        <v>10800000</v>
      </c>
      <c r="F35" s="186"/>
      <c r="G35" s="314">
        <v>11874039</v>
      </c>
      <c r="H35" s="314">
        <v>11874039</v>
      </c>
      <c r="I35" s="186"/>
    </row>
    <row r="36" spans="1:9" ht="15.75" customHeight="1">
      <c r="A36" s="9"/>
      <c r="B36" s="150" t="s">
        <v>64</v>
      </c>
      <c r="C36" s="80" t="s">
        <v>161</v>
      </c>
      <c r="D36" s="314">
        <v>800000</v>
      </c>
      <c r="E36" s="314">
        <v>800000</v>
      </c>
      <c r="F36" s="186"/>
      <c r="G36" s="314">
        <v>0</v>
      </c>
      <c r="H36" s="314">
        <v>0</v>
      </c>
      <c r="I36" s="186"/>
    </row>
    <row r="37" spans="1:9" ht="15.75" customHeight="1">
      <c r="A37" s="9"/>
      <c r="B37" s="150" t="s">
        <v>65</v>
      </c>
      <c r="C37" s="80" t="s">
        <v>162</v>
      </c>
      <c r="D37" s="314"/>
      <c r="E37" s="13"/>
      <c r="F37" s="186"/>
      <c r="G37" s="314"/>
      <c r="H37" s="13"/>
      <c r="I37" s="186"/>
    </row>
    <row r="38" spans="1:9" ht="15.75" customHeight="1">
      <c r="A38" s="9" t="s">
        <v>38</v>
      </c>
      <c r="B38" s="487" t="s">
        <v>128</v>
      </c>
      <c r="C38" s="487"/>
      <c r="D38" s="314">
        <f>D39+D40+D41</f>
        <v>25407025</v>
      </c>
      <c r="E38" s="314">
        <f>E39+E40+E41</f>
        <v>25407025</v>
      </c>
      <c r="F38" s="186">
        <f>SUM(F39:F41)</f>
        <v>0</v>
      </c>
      <c r="G38" s="314">
        <f>G39+G40+G41</f>
        <v>26383425</v>
      </c>
      <c r="H38" s="314">
        <f>H39+H40+H41</f>
        <v>26383425</v>
      </c>
      <c r="I38" s="186">
        <f>SUM(I39:I41)</f>
        <v>0</v>
      </c>
    </row>
    <row r="39" spans="1:9" ht="15.75" customHeight="1">
      <c r="A39" s="9"/>
      <c r="B39" s="151" t="s">
        <v>66</v>
      </c>
      <c r="C39" s="209" t="s">
        <v>213</v>
      </c>
      <c r="D39" s="314">
        <v>25407025</v>
      </c>
      <c r="E39" s="314">
        <v>25407025</v>
      </c>
      <c r="F39" s="186"/>
      <c r="G39" s="314">
        <v>25850025</v>
      </c>
      <c r="H39" s="314">
        <v>25850025</v>
      </c>
      <c r="I39" s="186"/>
    </row>
    <row r="40" spans="1:9" ht="15.75" customHeight="1">
      <c r="A40" s="9"/>
      <c r="B40" s="151" t="s">
        <v>67</v>
      </c>
      <c r="C40" s="209" t="s">
        <v>69</v>
      </c>
      <c r="D40" s="189"/>
      <c r="E40" s="189"/>
      <c r="F40" s="186">
        <f aca="true" t="shared" si="1" ref="F40:F46">SUM(D40:D40)</f>
        <v>0</v>
      </c>
      <c r="G40" s="189"/>
      <c r="H40" s="189"/>
      <c r="I40" s="186">
        <f>SUM(G40:G40)</f>
        <v>0</v>
      </c>
    </row>
    <row r="41" spans="1:9" ht="15.75" customHeight="1">
      <c r="A41" s="9"/>
      <c r="B41" s="151" t="s">
        <v>68</v>
      </c>
      <c r="C41" s="209" t="s">
        <v>237</v>
      </c>
      <c r="D41" s="314">
        <v>0</v>
      </c>
      <c r="E41" s="314">
        <v>0</v>
      </c>
      <c r="F41" s="186"/>
      <c r="G41" s="314">
        <v>533400</v>
      </c>
      <c r="H41" s="314">
        <v>533400</v>
      </c>
      <c r="I41" s="186"/>
    </row>
    <row r="42" spans="1:9" ht="15.75" customHeight="1">
      <c r="A42" s="9" t="s">
        <v>39</v>
      </c>
      <c r="B42" s="487" t="s">
        <v>129</v>
      </c>
      <c r="C42" s="487"/>
      <c r="D42" s="189">
        <f aca="true" t="shared" si="2" ref="D42:I42">SUM(D43:D46)</f>
        <v>0</v>
      </c>
      <c r="E42" s="189">
        <f t="shared" si="2"/>
        <v>0</v>
      </c>
      <c r="F42" s="179">
        <f t="shared" si="2"/>
        <v>0</v>
      </c>
      <c r="G42" s="189">
        <f t="shared" si="2"/>
        <v>1591965</v>
      </c>
      <c r="H42" s="189">
        <f t="shared" si="2"/>
        <v>1495742</v>
      </c>
      <c r="I42" s="179">
        <f t="shared" si="2"/>
        <v>96223</v>
      </c>
    </row>
    <row r="43" spans="1:9" ht="15.75" customHeight="1">
      <c r="A43" s="9"/>
      <c r="B43" s="151" t="s">
        <v>70</v>
      </c>
      <c r="C43" s="209" t="s">
        <v>74</v>
      </c>
      <c r="D43" s="189">
        <v>0</v>
      </c>
      <c r="E43" s="189">
        <v>0</v>
      </c>
      <c r="F43" s="186"/>
      <c r="G43" s="189">
        <v>1495742</v>
      </c>
      <c r="H43" s="189">
        <v>1495742</v>
      </c>
      <c r="I43" s="186">
        <v>0</v>
      </c>
    </row>
    <row r="44" spans="1:9" ht="15.75" customHeight="1">
      <c r="A44" s="9"/>
      <c r="B44" s="151" t="s">
        <v>71</v>
      </c>
      <c r="C44" s="209" t="s">
        <v>75</v>
      </c>
      <c r="D44" s="189"/>
      <c r="E44" s="202"/>
      <c r="F44" s="186">
        <f t="shared" si="1"/>
        <v>0</v>
      </c>
      <c r="G44" s="189">
        <v>96223</v>
      </c>
      <c r="H44" s="202">
        <v>0</v>
      </c>
      <c r="I44" s="186">
        <f>SUM(G44:G44)</f>
        <v>96223</v>
      </c>
    </row>
    <row r="45" spans="1:9" ht="15.75" customHeight="1">
      <c r="A45" s="9"/>
      <c r="B45" s="151" t="s">
        <v>72</v>
      </c>
      <c r="C45" s="209" t="s">
        <v>76</v>
      </c>
      <c r="D45" s="189"/>
      <c r="E45" s="202"/>
      <c r="F45" s="186">
        <f t="shared" si="1"/>
        <v>0</v>
      </c>
      <c r="G45" s="189"/>
      <c r="H45" s="202"/>
      <c r="I45" s="186">
        <f>SUM(G45:G45)</f>
        <v>0</v>
      </c>
    </row>
    <row r="46" spans="1:9" ht="15.75" customHeight="1">
      <c r="A46" s="9"/>
      <c r="B46" s="151" t="s">
        <v>73</v>
      </c>
      <c r="C46" s="209" t="s">
        <v>77</v>
      </c>
      <c r="D46" s="189"/>
      <c r="E46" s="202"/>
      <c r="F46" s="186">
        <f t="shared" si="1"/>
        <v>0</v>
      </c>
      <c r="G46" s="189"/>
      <c r="H46" s="202"/>
      <c r="I46" s="186">
        <f>SUM(G46:G46)</f>
        <v>0</v>
      </c>
    </row>
    <row r="47" spans="1:9" s="153" customFormat="1" ht="15.75" customHeight="1">
      <c r="A47" s="152" t="s">
        <v>177</v>
      </c>
      <c r="B47" s="485" t="s">
        <v>78</v>
      </c>
      <c r="C47" s="485"/>
      <c r="D47" s="189">
        <f aca="true" t="shared" si="3" ref="D47:I47">+D33+D34+D38+D42</f>
        <v>40421745</v>
      </c>
      <c r="E47" s="202">
        <f t="shared" si="3"/>
        <v>40421745</v>
      </c>
      <c r="F47" s="197">
        <f t="shared" si="3"/>
        <v>0</v>
      </c>
      <c r="G47" s="189">
        <f t="shared" si="3"/>
        <v>43493628</v>
      </c>
      <c r="H47" s="202">
        <f t="shared" si="3"/>
        <v>43397405</v>
      </c>
      <c r="I47" s="197">
        <f t="shared" si="3"/>
        <v>96223</v>
      </c>
    </row>
    <row r="48" spans="1:9" ht="15.75" customHeight="1">
      <c r="A48" s="9" t="s">
        <v>40</v>
      </c>
      <c r="B48" s="487" t="s">
        <v>175</v>
      </c>
      <c r="C48" s="487"/>
      <c r="D48" s="189">
        <f>SUM(D49:D50)</f>
        <v>0</v>
      </c>
      <c r="E48" s="202">
        <f>SUM(E49:E50)</f>
        <v>0</v>
      </c>
      <c r="F48" s="179"/>
      <c r="G48" s="189">
        <f>SUM(G49:G50)</f>
        <v>0</v>
      </c>
      <c r="H48" s="202">
        <f>SUM(H49:H50)</f>
        <v>0</v>
      </c>
      <c r="I48" s="179"/>
    </row>
    <row r="49" spans="1:9" ht="15.75" customHeight="1">
      <c r="A49" s="9"/>
      <c r="B49" s="151" t="s">
        <v>79</v>
      </c>
      <c r="C49" s="209" t="s">
        <v>81</v>
      </c>
      <c r="D49" s="189"/>
      <c r="E49" s="202"/>
      <c r="F49" s="186"/>
      <c r="G49" s="189"/>
      <c r="H49" s="202"/>
      <c r="I49" s="186"/>
    </row>
    <row r="50" spans="1:9" ht="15.75" customHeight="1">
      <c r="A50" s="9"/>
      <c r="B50" s="151" t="s">
        <v>80</v>
      </c>
      <c r="C50" s="209" t="s">
        <v>0</v>
      </c>
      <c r="D50" s="189"/>
      <c r="E50" s="202"/>
      <c r="F50" s="186"/>
      <c r="G50" s="189"/>
      <c r="H50" s="202"/>
      <c r="I50" s="186"/>
    </row>
    <row r="51" spans="1:9" ht="15.75" customHeight="1">
      <c r="A51" s="9" t="s">
        <v>41</v>
      </c>
      <c r="B51" s="487" t="s">
        <v>130</v>
      </c>
      <c r="C51" s="487"/>
      <c r="D51" s="189">
        <f>SUM(D52:D53)</f>
        <v>9319819</v>
      </c>
      <c r="E51" s="202">
        <f>SUM(E52:E53)</f>
        <v>0</v>
      </c>
      <c r="F51" s="186">
        <f aca="true" t="shared" si="4" ref="F51:F57">SUM(D51:D51)</f>
        <v>9319819</v>
      </c>
      <c r="G51" s="189">
        <f>SUM(G52:G53)</f>
        <v>48976190</v>
      </c>
      <c r="H51" s="202">
        <f>SUM(H52:H53)</f>
        <v>0</v>
      </c>
      <c r="I51" s="186">
        <f>SUM(G51:G51)</f>
        <v>48976190</v>
      </c>
    </row>
    <row r="52" spans="1:9" ht="15.75" customHeight="1">
      <c r="A52" s="9"/>
      <c r="B52" s="151" t="s">
        <v>82</v>
      </c>
      <c r="C52" s="209" t="s">
        <v>84</v>
      </c>
      <c r="D52" s="189"/>
      <c r="E52" s="202"/>
      <c r="F52" s="186">
        <f t="shared" si="4"/>
        <v>0</v>
      </c>
      <c r="G52" s="189"/>
      <c r="H52" s="202"/>
      <c r="I52" s="186">
        <f>SUM(G52:G52)</f>
        <v>0</v>
      </c>
    </row>
    <row r="53" spans="1:9" ht="15.75" customHeight="1">
      <c r="A53" s="9"/>
      <c r="B53" s="151" t="s">
        <v>83</v>
      </c>
      <c r="C53" s="209" t="s">
        <v>85</v>
      </c>
      <c r="D53" s="189">
        <v>9319819</v>
      </c>
      <c r="E53" s="202">
        <v>0</v>
      </c>
      <c r="F53" s="186">
        <f t="shared" si="4"/>
        <v>9319819</v>
      </c>
      <c r="G53" s="189">
        <v>48976190</v>
      </c>
      <c r="H53" s="202">
        <v>0</v>
      </c>
      <c r="I53" s="186">
        <f>SUM(G53:G53)</f>
        <v>48976190</v>
      </c>
    </row>
    <row r="54" spans="1:9" ht="15.75" customHeight="1">
      <c r="A54" s="9" t="s">
        <v>42</v>
      </c>
      <c r="B54" s="487" t="s">
        <v>131</v>
      </c>
      <c r="C54" s="487"/>
      <c r="D54" s="189">
        <f>SUM(D55:D57)</f>
        <v>0</v>
      </c>
      <c r="E54" s="202">
        <f>SUM(E55:E57)</f>
        <v>0</v>
      </c>
      <c r="F54" s="186">
        <v>0</v>
      </c>
      <c r="G54" s="189">
        <f>SUM(G55:G57)</f>
        <v>0</v>
      </c>
      <c r="H54" s="202">
        <f>SUM(H55:H57)</f>
        <v>0</v>
      </c>
      <c r="I54" s="186">
        <v>0</v>
      </c>
    </row>
    <row r="55" spans="1:9" ht="15.75" customHeight="1">
      <c r="A55" s="9"/>
      <c r="B55" s="151" t="s">
        <v>86</v>
      </c>
      <c r="C55" s="209" t="s">
        <v>89</v>
      </c>
      <c r="D55" s="189"/>
      <c r="E55" s="202"/>
      <c r="F55" s="186"/>
      <c r="G55" s="189"/>
      <c r="H55" s="202"/>
      <c r="I55" s="186"/>
    </row>
    <row r="56" spans="1:9" ht="15.75" customHeight="1">
      <c r="A56" s="9"/>
      <c r="B56" s="151" t="s">
        <v>87</v>
      </c>
      <c r="C56" s="209" t="s">
        <v>1</v>
      </c>
      <c r="D56" s="189"/>
      <c r="E56" s="202">
        <v>0</v>
      </c>
      <c r="F56" s="186">
        <v>0</v>
      </c>
      <c r="G56" s="189"/>
      <c r="H56" s="202">
        <v>0</v>
      </c>
      <c r="I56" s="186">
        <v>0</v>
      </c>
    </row>
    <row r="57" spans="1:9" ht="15.75" customHeight="1">
      <c r="A57" s="9"/>
      <c r="B57" s="151" t="s">
        <v>88</v>
      </c>
      <c r="C57" s="209" t="s">
        <v>90</v>
      </c>
      <c r="D57" s="189"/>
      <c r="E57" s="202"/>
      <c r="F57" s="186">
        <f t="shared" si="4"/>
        <v>0</v>
      </c>
      <c r="G57" s="189"/>
      <c r="H57" s="202"/>
      <c r="I57" s="186">
        <f>SUM(G57:G57)</f>
        <v>0</v>
      </c>
    </row>
    <row r="58" spans="1:9" s="153" customFormat="1" ht="15.75" customHeight="1">
      <c r="A58" s="152" t="s">
        <v>178</v>
      </c>
      <c r="B58" s="485" t="s">
        <v>196</v>
      </c>
      <c r="C58" s="485"/>
      <c r="D58" s="190">
        <f aca="true" t="shared" si="5" ref="D58:I58">+D48+D51+D54</f>
        <v>9319819</v>
      </c>
      <c r="E58" s="203">
        <f t="shared" si="5"/>
        <v>0</v>
      </c>
      <c r="F58" s="198">
        <f t="shared" si="5"/>
        <v>9319819</v>
      </c>
      <c r="G58" s="190">
        <f t="shared" si="5"/>
        <v>48976190</v>
      </c>
      <c r="H58" s="203">
        <f t="shared" si="5"/>
        <v>0</v>
      </c>
      <c r="I58" s="198">
        <f t="shared" si="5"/>
        <v>48976190</v>
      </c>
    </row>
    <row r="59" spans="1:9" s="153" customFormat="1" ht="15.75" customHeight="1">
      <c r="A59" s="152" t="s">
        <v>179</v>
      </c>
      <c r="B59" s="485" t="s">
        <v>132</v>
      </c>
      <c r="C59" s="485"/>
      <c r="D59" s="190"/>
      <c r="E59" s="203"/>
      <c r="F59" s="199"/>
      <c r="G59" s="190"/>
      <c r="H59" s="203"/>
      <c r="I59" s="199"/>
    </row>
    <row r="60" spans="1:9" s="153" customFormat="1" ht="15.75" customHeight="1">
      <c r="A60" s="152" t="s">
        <v>165</v>
      </c>
      <c r="B60" s="485" t="s">
        <v>21</v>
      </c>
      <c r="C60" s="485"/>
      <c r="D60" s="190"/>
      <c r="E60" s="203"/>
      <c r="F60" s="199"/>
      <c r="G60" s="190"/>
      <c r="H60" s="203"/>
      <c r="I60" s="199"/>
    </row>
    <row r="61" spans="1:9" s="87" customFormat="1" ht="15.75" customHeight="1">
      <c r="A61" s="86" t="s">
        <v>133</v>
      </c>
      <c r="B61" s="484" t="s">
        <v>134</v>
      </c>
      <c r="C61" s="484"/>
      <c r="D61" s="191">
        <f aca="true" t="shared" si="6" ref="D61:I61">+D47+D58+D59+D60</f>
        <v>49741564</v>
      </c>
      <c r="E61" s="205">
        <f t="shared" si="6"/>
        <v>40421745</v>
      </c>
      <c r="F61" s="196">
        <f t="shared" si="6"/>
        <v>9319819</v>
      </c>
      <c r="G61" s="191">
        <f t="shared" si="6"/>
        <v>92469818</v>
      </c>
      <c r="H61" s="205">
        <f t="shared" si="6"/>
        <v>43397405</v>
      </c>
      <c r="I61" s="196">
        <f t="shared" si="6"/>
        <v>49072413</v>
      </c>
    </row>
    <row r="62" spans="1:9" s="87" customFormat="1" ht="15.75" customHeight="1">
      <c r="A62" s="86"/>
      <c r="B62" s="484" t="s">
        <v>135</v>
      </c>
      <c r="C62" s="484"/>
      <c r="D62" s="191">
        <f>+D30-D61</f>
        <v>40638869</v>
      </c>
      <c r="E62" s="191">
        <f>+E30-E61</f>
        <v>47424688</v>
      </c>
      <c r="F62" s="196"/>
      <c r="G62" s="191">
        <f>+G30-G61</f>
        <v>40707764</v>
      </c>
      <c r="H62" s="191">
        <f>+H30-H61</f>
        <v>86633177</v>
      </c>
      <c r="I62" s="196"/>
    </row>
    <row r="63" spans="1:9" ht="15.75" customHeight="1">
      <c r="A63" s="152" t="s">
        <v>166</v>
      </c>
      <c r="B63" s="485" t="s">
        <v>136</v>
      </c>
      <c r="C63" s="485"/>
      <c r="D63" s="190">
        <f>D64+D65</f>
        <v>40638869</v>
      </c>
      <c r="E63" s="190">
        <f>E64+E65</f>
        <v>40638869</v>
      </c>
      <c r="F63" s="179"/>
      <c r="G63" s="190">
        <f>G64+G65</f>
        <v>40638869</v>
      </c>
      <c r="H63" s="190">
        <f>H64+H65</f>
        <v>40638869</v>
      </c>
      <c r="I63" s="179"/>
    </row>
    <row r="64" spans="1:9" s="87" customFormat="1" ht="15.75" customHeight="1">
      <c r="A64" s="86"/>
      <c r="B64" s="176" t="s">
        <v>29</v>
      </c>
      <c r="C64" s="209" t="s">
        <v>91</v>
      </c>
      <c r="D64" s="189">
        <v>15217845</v>
      </c>
      <c r="E64" s="189">
        <v>15217845</v>
      </c>
      <c r="F64" s="200"/>
      <c r="G64" s="189">
        <v>15217845</v>
      </c>
      <c r="H64" s="189">
        <v>15217845</v>
      </c>
      <c r="I64" s="200"/>
    </row>
    <row r="65" spans="1:9" s="87" customFormat="1" ht="15.75" customHeight="1">
      <c r="A65" s="86"/>
      <c r="B65" s="176" t="s">
        <v>37</v>
      </c>
      <c r="C65" s="209" t="s">
        <v>92</v>
      </c>
      <c r="D65" s="189">
        <v>25421024</v>
      </c>
      <c r="E65" s="189">
        <v>25421024</v>
      </c>
      <c r="F65" s="186"/>
      <c r="G65" s="189">
        <v>25421024</v>
      </c>
      <c r="H65" s="189">
        <v>25421024</v>
      </c>
      <c r="I65" s="186"/>
    </row>
    <row r="66" spans="1:9" s="87" customFormat="1" ht="39.75" customHeight="1">
      <c r="A66" s="86" t="s">
        <v>137</v>
      </c>
      <c r="B66" s="486" t="s">
        <v>141</v>
      </c>
      <c r="C66" s="486"/>
      <c r="D66" s="194">
        <f aca="true" t="shared" si="7" ref="D66:I66">+D63</f>
        <v>40638869</v>
      </c>
      <c r="E66" s="194">
        <f t="shared" si="7"/>
        <v>40638869</v>
      </c>
      <c r="F66" s="196">
        <f t="shared" si="7"/>
        <v>0</v>
      </c>
      <c r="G66" s="194">
        <f t="shared" si="7"/>
        <v>40638869</v>
      </c>
      <c r="H66" s="194">
        <f t="shared" si="7"/>
        <v>40638869</v>
      </c>
      <c r="I66" s="196">
        <f t="shared" si="7"/>
        <v>0</v>
      </c>
    </row>
    <row r="67" spans="1:9" s="87" customFormat="1" ht="15.75" customHeight="1">
      <c r="A67" s="9" t="s">
        <v>167</v>
      </c>
      <c r="B67" s="487" t="s">
        <v>138</v>
      </c>
      <c r="C67" s="487"/>
      <c r="D67" s="191"/>
      <c r="E67" s="205"/>
      <c r="F67" s="201">
        <f aca="true" t="shared" si="8" ref="F67:F80">SUM(D67:E67)</f>
        <v>0</v>
      </c>
      <c r="G67" s="191"/>
      <c r="H67" s="205"/>
      <c r="I67" s="201">
        <f>SUM(G67:H67)</f>
        <v>0</v>
      </c>
    </row>
    <row r="68" spans="1:9" s="87" customFormat="1" ht="15.75" customHeight="1">
      <c r="A68" s="9" t="s">
        <v>168</v>
      </c>
      <c r="B68" s="487" t="s">
        <v>139</v>
      </c>
      <c r="C68" s="487"/>
      <c r="D68" s="191">
        <f>SUM(D69:D72)</f>
        <v>0</v>
      </c>
      <c r="E68" s="205">
        <f>SUM(E69:E72)</f>
        <v>0</v>
      </c>
      <c r="F68" s="201">
        <f t="shared" si="8"/>
        <v>0</v>
      </c>
      <c r="G68" s="191">
        <f>SUM(G69:G72)</f>
        <v>0</v>
      </c>
      <c r="H68" s="205">
        <f>SUM(H69:H72)</f>
        <v>0</v>
      </c>
      <c r="I68" s="201">
        <f>SUM(G68:H68)</f>
        <v>0</v>
      </c>
    </row>
    <row r="69" spans="1:9" s="87" customFormat="1" ht="15.75" customHeight="1">
      <c r="A69" s="9"/>
      <c r="B69" s="151" t="s">
        <v>29</v>
      </c>
      <c r="C69" s="209" t="s">
        <v>93</v>
      </c>
      <c r="D69" s="193"/>
      <c r="E69" s="206"/>
      <c r="F69" s="200">
        <f t="shared" si="8"/>
        <v>0</v>
      </c>
      <c r="G69" s="193"/>
      <c r="H69" s="206"/>
      <c r="I69" s="200">
        <f>SUM(G69:H69)</f>
        <v>0</v>
      </c>
    </row>
    <row r="70" spans="1:9" s="87" customFormat="1" ht="15.75" customHeight="1">
      <c r="A70" s="9"/>
      <c r="B70" s="151" t="s">
        <v>37</v>
      </c>
      <c r="C70" s="209" t="s">
        <v>94</v>
      </c>
      <c r="D70" s="191"/>
      <c r="E70" s="205"/>
      <c r="F70" s="201">
        <f t="shared" si="8"/>
        <v>0</v>
      </c>
      <c r="G70" s="191"/>
      <c r="H70" s="205"/>
      <c r="I70" s="201">
        <f>SUM(G70:H70)</f>
        <v>0</v>
      </c>
    </row>
    <row r="71" spans="1:9" s="87" customFormat="1" ht="15.75" customHeight="1">
      <c r="A71" s="9"/>
      <c r="B71" s="151" t="s">
        <v>38</v>
      </c>
      <c r="C71" s="209" t="s">
        <v>208</v>
      </c>
      <c r="D71" s="193"/>
      <c r="E71" s="206"/>
      <c r="F71" s="201"/>
      <c r="G71" s="193"/>
      <c r="H71" s="206"/>
      <c r="I71" s="201"/>
    </row>
    <row r="72" spans="1:9" s="87" customFormat="1" ht="15.75" customHeight="1">
      <c r="A72" s="9"/>
      <c r="B72" s="151" t="s">
        <v>39</v>
      </c>
      <c r="C72" s="209" t="s">
        <v>209</v>
      </c>
      <c r="D72" s="193"/>
      <c r="E72" s="206"/>
      <c r="F72" s="201"/>
      <c r="G72" s="193"/>
      <c r="H72" s="206"/>
      <c r="I72" s="201"/>
    </row>
    <row r="73" spans="1:9" s="87" customFormat="1" ht="15.75" customHeight="1">
      <c r="A73" s="9"/>
      <c r="B73" s="151" t="s">
        <v>40</v>
      </c>
      <c r="C73" s="487" t="s">
        <v>235</v>
      </c>
      <c r="D73" s="487"/>
      <c r="E73" s="206"/>
      <c r="F73" s="201"/>
      <c r="G73" s="193">
        <v>68895</v>
      </c>
      <c r="H73" s="206">
        <v>68895</v>
      </c>
      <c r="I73" s="201"/>
    </row>
    <row r="74" spans="1:9" s="87" customFormat="1" ht="33" customHeight="1">
      <c r="A74" s="86" t="s">
        <v>140</v>
      </c>
      <c r="B74" s="488" t="s">
        <v>142</v>
      </c>
      <c r="C74" s="488"/>
      <c r="D74" s="191">
        <f>+D67+D68</f>
        <v>0</v>
      </c>
      <c r="E74" s="205">
        <f>+E67+E68</f>
        <v>0</v>
      </c>
      <c r="F74" s="201">
        <f t="shared" si="8"/>
        <v>0</v>
      </c>
      <c r="G74" s="191">
        <f>+G67+G68</f>
        <v>0</v>
      </c>
      <c r="H74" s="205">
        <f>+H67+H68</f>
        <v>0</v>
      </c>
      <c r="I74" s="201">
        <f>SUM(G74:H74)</f>
        <v>0</v>
      </c>
    </row>
    <row r="75" spans="1:9" s="87" customFormat="1" ht="15.75" customHeight="1">
      <c r="A75" s="86" t="s">
        <v>143</v>
      </c>
      <c r="B75" s="484" t="s">
        <v>144</v>
      </c>
      <c r="C75" s="484"/>
      <c r="D75" s="194">
        <f>+D66+D74</f>
        <v>40638869</v>
      </c>
      <c r="E75" s="205">
        <f>+E66+E74</f>
        <v>40638869</v>
      </c>
      <c r="F75" s="180">
        <f>+F66+F74</f>
        <v>0</v>
      </c>
      <c r="G75" s="194">
        <f>+G66+G74+G73</f>
        <v>40707764</v>
      </c>
      <c r="H75" s="194">
        <f>+H66+H74+H73</f>
        <v>40707764</v>
      </c>
      <c r="I75" s="180">
        <f>+I66+I74</f>
        <v>0</v>
      </c>
    </row>
    <row r="76" spans="1:9" s="87" customFormat="1" ht="15.75" customHeight="1">
      <c r="A76" s="9" t="s">
        <v>169</v>
      </c>
      <c r="B76" s="487" t="s">
        <v>145</v>
      </c>
      <c r="C76" s="487"/>
      <c r="D76" s="191"/>
      <c r="E76" s="205"/>
      <c r="F76" s="201">
        <f t="shared" si="8"/>
        <v>0</v>
      </c>
      <c r="G76" s="191"/>
      <c r="H76" s="205"/>
      <c r="I76" s="201">
        <f>SUM(G76:H76)</f>
        <v>0</v>
      </c>
    </row>
    <row r="77" spans="1:9" s="87" customFormat="1" ht="15.75" customHeight="1">
      <c r="A77" s="9" t="s">
        <v>170</v>
      </c>
      <c r="B77" s="487" t="s">
        <v>146</v>
      </c>
      <c r="C77" s="487"/>
      <c r="D77" s="193">
        <f>SUM(D78:D80)</f>
        <v>0</v>
      </c>
      <c r="E77" s="206">
        <f>SUM(E78:E80)</f>
        <v>0</v>
      </c>
      <c r="F77" s="200">
        <f t="shared" si="8"/>
        <v>0</v>
      </c>
      <c r="G77" s="193">
        <f>SUM(G78:G80)</f>
        <v>0</v>
      </c>
      <c r="H77" s="206">
        <f>SUM(H78:H80)</f>
        <v>0</v>
      </c>
      <c r="I77" s="200">
        <f>SUM(G77:H77)</f>
        <v>0</v>
      </c>
    </row>
    <row r="78" spans="1:9" s="87" customFormat="1" ht="15.75" customHeight="1">
      <c r="A78" s="9"/>
      <c r="B78" s="151" t="s">
        <v>29</v>
      </c>
      <c r="C78" s="209" t="s">
        <v>206</v>
      </c>
      <c r="D78" s="193"/>
      <c r="E78" s="206"/>
      <c r="F78" s="200">
        <f t="shared" si="8"/>
        <v>0</v>
      </c>
      <c r="G78" s="193"/>
      <c r="H78" s="206"/>
      <c r="I78" s="200">
        <f>SUM(G78:H78)</f>
        <v>0</v>
      </c>
    </row>
    <row r="79" spans="1:9" s="87" customFormat="1" ht="15.75" customHeight="1">
      <c r="A79" s="9"/>
      <c r="B79" s="151" t="s">
        <v>37</v>
      </c>
      <c r="C79" s="209" t="s">
        <v>205</v>
      </c>
      <c r="D79" s="193"/>
      <c r="E79" s="206"/>
      <c r="F79" s="200">
        <f t="shared" si="8"/>
        <v>0</v>
      </c>
      <c r="G79" s="193"/>
      <c r="H79" s="206"/>
      <c r="I79" s="200">
        <f>SUM(G79:H79)</f>
        <v>0</v>
      </c>
    </row>
    <row r="80" spans="1:9" s="87" customFormat="1" ht="15.75" customHeight="1">
      <c r="A80" s="9"/>
      <c r="B80" s="151" t="s">
        <v>38</v>
      </c>
      <c r="C80" s="209" t="s">
        <v>95</v>
      </c>
      <c r="D80" s="193"/>
      <c r="E80" s="206"/>
      <c r="F80" s="200">
        <f t="shared" si="8"/>
        <v>0</v>
      </c>
      <c r="G80" s="193"/>
      <c r="H80" s="206"/>
      <c r="I80" s="200">
        <f>SUM(G80:H80)</f>
        <v>0</v>
      </c>
    </row>
    <row r="81" spans="1:9" s="87" customFormat="1" ht="15.75" customHeight="1">
      <c r="A81" s="9" t="s">
        <v>234</v>
      </c>
      <c r="D81" s="193">
        <v>0</v>
      </c>
      <c r="E81" s="206">
        <v>0</v>
      </c>
      <c r="F81" s="200"/>
      <c r="G81" s="193">
        <v>0</v>
      </c>
      <c r="H81" s="206">
        <v>0</v>
      </c>
      <c r="I81" s="200"/>
    </row>
    <row r="82" spans="1:9" s="87" customFormat="1" ht="15.75" customHeight="1">
      <c r="A82" s="86" t="s">
        <v>147</v>
      </c>
      <c r="B82" s="484" t="s">
        <v>148</v>
      </c>
      <c r="C82" s="484"/>
      <c r="D82" s="191">
        <f>+D76+D77+D81</f>
        <v>0</v>
      </c>
      <c r="E82" s="205">
        <f>+E76+E77+E81</f>
        <v>0</v>
      </c>
      <c r="F82" s="201"/>
      <c r="G82" s="191">
        <f>+G76+G77+G81</f>
        <v>0</v>
      </c>
      <c r="H82" s="205">
        <f>+H76+H77+H81</f>
        <v>0</v>
      </c>
      <c r="I82" s="201"/>
    </row>
    <row r="83" spans="1:9" s="87" customFormat="1" ht="15.75" customHeight="1">
      <c r="A83" s="86" t="s">
        <v>187</v>
      </c>
      <c r="B83" s="484" t="s">
        <v>189</v>
      </c>
      <c r="C83" s="484"/>
      <c r="D83" s="195">
        <f aca="true" t="shared" si="9" ref="D83:I83">+D30+D82</f>
        <v>90380433</v>
      </c>
      <c r="E83" s="315">
        <f t="shared" si="9"/>
        <v>87846433</v>
      </c>
      <c r="F83" s="316">
        <f t="shared" si="9"/>
        <v>2534000</v>
      </c>
      <c r="G83" s="195">
        <f t="shared" si="9"/>
        <v>133177582</v>
      </c>
      <c r="H83" s="315">
        <f t="shared" si="9"/>
        <v>130030582</v>
      </c>
      <c r="I83" s="316">
        <f t="shared" si="9"/>
        <v>3147000</v>
      </c>
    </row>
    <row r="84" spans="1:9" s="87" customFormat="1" ht="15.75" customHeight="1" thickBot="1">
      <c r="A84" s="104" t="s">
        <v>188</v>
      </c>
      <c r="B84" s="105" t="s">
        <v>190</v>
      </c>
      <c r="C84" s="105"/>
      <c r="D84" s="195">
        <f>+D61+D75</f>
        <v>90380433</v>
      </c>
      <c r="E84" s="315">
        <f>+E61+E75</f>
        <v>81060614</v>
      </c>
      <c r="F84" s="316">
        <f>+F61+F75</f>
        <v>9319819</v>
      </c>
      <c r="G84" s="195">
        <f>+G61+G75+G82</f>
        <v>133177582</v>
      </c>
      <c r="H84" s="315">
        <f>+H61+H75+H82</f>
        <v>84105169</v>
      </c>
      <c r="I84" s="316">
        <f>+I61+I75</f>
        <v>49072413</v>
      </c>
    </row>
    <row r="85" spans="2:6" ht="19.5" customHeight="1">
      <c r="B85" s="15"/>
      <c r="C85" s="15"/>
      <c r="D85" s="16"/>
      <c r="E85" s="16"/>
      <c r="F85" s="16"/>
    </row>
    <row r="86" spans="2:6" ht="19.5" customHeight="1" hidden="1">
      <c r="B86" s="15"/>
      <c r="C86" s="15"/>
      <c r="D86" s="108">
        <f>+D84-D83</f>
        <v>0</v>
      </c>
      <c r="E86" s="108">
        <f>+E84-E83</f>
        <v>-6785819</v>
      </c>
      <c r="F86" s="108">
        <f>+F84-F83</f>
        <v>6785819</v>
      </c>
    </row>
    <row r="87" spans="2:6" ht="19.5" customHeight="1">
      <c r="B87" s="15"/>
      <c r="C87" s="15"/>
      <c r="D87" s="16"/>
      <c r="E87" s="16"/>
      <c r="F87" s="16"/>
    </row>
    <row r="88" spans="2:6" ht="19.5" customHeight="1">
      <c r="B88" s="15"/>
      <c r="C88" s="15"/>
      <c r="D88" s="16"/>
      <c r="E88" s="16"/>
      <c r="F88" s="16"/>
    </row>
    <row r="89" spans="2:6" ht="19.5" customHeight="1">
      <c r="B89" s="15"/>
      <c r="C89" s="15"/>
      <c r="D89" s="16"/>
      <c r="E89" s="16"/>
      <c r="F89" s="16"/>
    </row>
    <row r="90" spans="2:6" ht="19.5" customHeight="1">
      <c r="B90" s="15"/>
      <c r="C90" s="15"/>
      <c r="D90" s="16"/>
      <c r="E90" s="16"/>
      <c r="F90" s="16"/>
    </row>
    <row r="91" spans="2:6" ht="19.5" customHeight="1">
      <c r="B91" s="15"/>
      <c r="C91" s="15"/>
      <c r="D91" s="16"/>
      <c r="E91" s="16"/>
      <c r="F91" s="16"/>
    </row>
    <row r="92" spans="2:6" ht="19.5" customHeight="1">
      <c r="B92" s="15"/>
      <c r="C92" s="15"/>
      <c r="D92" s="16"/>
      <c r="E92" s="16"/>
      <c r="F92" s="16"/>
    </row>
    <row r="93" spans="2:6" ht="19.5" customHeight="1">
      <c r="B93" s="15"/>
      <c r="C93" s="15"/>
      <c r="D93" s="16"/>
      <c r="E93" s="16"/>
      <c r="F93" s="16"/>
    </row>
    <row r="94" spans="2:6" ht="19.5" customHeight="1">
      <c r="B94" s="15"/>
      <c r="C94" s="15"/>
      <c r="D94" s="16"/>
      <c r="E94" s="16"/>
      <c r="F94" s="16"/>
    </row>
    <row r="95" spans="2:6" ht="19.5" customHeight="1">
      <c r="B95" s="15"/>
      <c r="C95" s="15"/>
      <c r="D95" s="16"/>
      <c r="E95" s="16"/>
      <c r="F95" s="16"/>
    </row>
    <row r="96" spans="2:6" ht="19.5" customHeight="1">
      <c r="B96" s="15"/>
      <c r="C96" s="15"/>
      <c r="D96" s="16"/>
      <c r="E96" s="16"/>
      <c r="F96" s="16"/>
    </row>
    <row r="97" spans="2:6" ht="19.5" customHeight="1">
      <c r="B97" s="15"/>
      <c r="C97" s="15"/>
      <c r="D97" s="16"/>
      <c r="E97" s="16"/>
      <c r="F97" s="16"/>
    </row>
    <row r="98" spans="2:6" ht="19.5" customHeight="1">
      <c r="B98" s="15"/>
      <c r="C98" s="15"/>
      <c r="D98" s="16"/>
      <c r="E98" s="16"/>
      <c r="F98" s="16"/>
    </row>
    <row r="99" spans="2:6" ht="19.5" customHeight="1">
      <c r="B99" s="15"/>
      <c r="C99" s="15"/>
      <c r="D99" s="16"/>
      <c r="E99" s="16"/>
      <c r="F99" s="16"/>
    </row>
    <row r="100" spans="2:6" ht="19.5" customHeight="1">
      <c r="B100" s="15"/>
      <c r="C100" s="15"/>
      <c r="D100" s="16"/>
      <c r="E100" s="16"/>
      <c r="F100" s="16"/>
    </row>
    <row r="101" spans="2:6" ht="19.5" customHeight="1">
      <c r="B101" s="15"/>
      <c r="C101" s="15"/>
      <c r="D101" s="16"/>
      <c r="E101" s="16"/>
      <c r="F101" s="16"/>
    </row>
    <row r="102" spans="2:6" ht="19.5" customHeight="1">
      <c r="B102" s="15"/>
      <c r="C102" s="15"/>
      <c r="D102" s="16"/>
      <c r="E102" s="16"/>
      <c r="F102" s="16"/>
    </row>
    <row r="103" spans="2:6" ht="19.5" customHeight="1">
      <c r="B103" s="15"/>
      <c r="C103" s="15"/>
      <c r="D103" s="16"/>
      <c r="E103" s="16"/>
      <c r="F103" s="16"/>
    </row>
    <row r="104" spans="2:6" ht="19.5" customHeight="1">
      <c r="B104" s="15"/>
      <c r="C104" s="15"/>
      <c r="D104" s="16"/>
      <c r="E104" s="16"/>
      <c r="F104" s="16"/>
    </row>
    <row r="105" spans="2:6" ht="19.5" customHeight="1">
      <c r="B105" s="15"/>
      <c r="C105" s="15"/>
      <c r="D105" s="16"/>
      <c r="E105" s="16"/>
      <c r="F105" s="16"/>
    </row>
    <row r="106" spans="2:6" ht="19.5" customHeight="1">
      <c r="B106" s="15"/>
      <c r="C106" s="15"/>
      <c r="D106" s="16"/>
      <c r="E106" s="16"/>
      <c r="F106" s="16"/>
    </row>
  </sheetData>
  <sheetProtection/>
  <mergeCells count="62"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31:C31"/>
    <mergeCell ref="B19:C19"/>
    <mergeCell ref="D8:F8"/>
    <mergeCell ref="B9:C9"/>
    <mergeCell ref="B10:C10"/>
    <mergeCell ref="B11:C11"/>
    <mergeCell ref="B12:C12"/>
    <mergeCell ref="B59:C59"/>
    <mergeCell ref="B60:C60"/>
    <mergeCell ref="B32:C32"/>
    <mergeCell ref="B20:C20"/>
    <mergeCell ref="B21:C21"/>
    <mergeCell ref="B23:C23"/>
    <mergeCell ref="B24:C24"/>
    <mergeCell ref="B25:C25"/>
    <mergeCell ref="B26:C26"/>
    <mergeCell ref="B27:C27"/>
    <mergeCell ref="B61:C61"/>
    <mergeCell ref="B33:C33"/>
    <mergeCell ref="B34:C34"/>
    <mergeCell ref="B38:C38"/>
    <mergeCell ref="B42:C42"/>
    <mergeCell ref="B47:C47"/>
    <mergeCell ref="B48:C48"/>
    <mergeCell ref="B51:C51"/>
    <mergeCell ref="B54:C54"/>
    <mergeCell ref="B58:C58"/>
    <mergeCell ref="B74:C74"/>
    <mergeCell ref="B75:C75"/>
    <mergeCell ref="B76:C76"/>
    <mergeCell ref="B77:C77"/>
    <mergeCell ref="C73:D73"/>
    <mergeCell ref="B82:C82"/>
    <mergeCell ref="G6:G7"/>
    <mergeCell ref="H6:H7"/>
    <mergeCell ref="I6:I7"/>
    <mergeCell ref="G8:I8"/>
    <mergeCell ref="B83:C83"/>
    <mergeCell ref="B62:C62"/>
    <mergeCell ref="B63:C63"/>
    <mergeCell ref="B66:C66"/>
    <mergeCell ref="B67:C67"/>
    <mergeCell ref="B68:C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52"/>
  <sheetViews>
    <sheetView view="pageBreakPreview" zoomScale="75" zoomScaleNormal="75" zoomScaleSheetLayoutView="75" zoomScalePageLayoutView="0" workbookViewId="0" topLeftCell="A19">
      <selection activeCell="J25" sqref="J25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5.875" style="0" customWidth="1"/>
    <col min="4" max="4" width="18.00390625" style="0" customWidth="1"/>
    <col min="5" max="5" width="19.875" style="0" customWidth="1"/>
    <col min="6" max="6" width="3.125" style="0" customWidth="1"/>
    <col min="7" max="7" width="46.75390625" style="0" customWidth="1"/>
    <col min="8" max="8" width="32.125" style="0" customWidth="1"/>
    <col min="9" max="9" width="24.00390625" style="0" customWidth="1"/>
    <col min="10" max="10" width="19.375" style="0" bestFit="1" customWidth="1"/>
  </cols>
  <sheetData>
    <row r="1" spans="2:10" ht="18.75">
      <c r="B1" s="499" t="s">
        <v>463</v>
      </c>
      <c r="C1" s="499"/>
      <c r="D1" s="499"/>
      <c r="E1" s="499"/>
      <c r="F1" s="499"/>
      <c r="G1" s="499"/>
      <c r="H1" s="499"/>
      <c r="I1" s="499"/>
      <c r="J1" s="499"/>
    </row>
    <row r="2" spans="2:10" ht="15.75">
      <c r="B2" s="501" t="s">
        <v>220</v>
      </c>
      <c r="C2" s="501"/>
      <c r="D2" s="501"/>
      <c r="E2" s="501"/>
      <c r="F2" s="501"/>
      <c r="G2" s="501"/>
      <c r="H2" s="501"/>
      <c r="I2" s="501"/>
      <c r="J2" s="501"/>
    </row>
    <row r="3" spans="2:10" ht="15.75">
      <c r="B3" s="501" t="s">
        <v>202</v>
      </c>
      <c r="C3" s="501"/>
      <c r="D3" s="501"/>
      <c r="E3" s="501"/>
      <c r="F3" s="501"/>
      <c r="G3" s="501"/>
      <c r="H3" s="501"/>
      <c r="I3" s="501"/>
      <c r="J3" s="501"/>
    </row>
    <row r="4" spans="2:10" ht="15.75">
      <c r="B4" s="502" t="s">
        <v>216</v>
      </c>
      <c r="C4" s="502"/>
      <c r="D4" s="502"/>
      <c r="E4" s="502"/>
      <c r="F4" s="502"/>
      <c r="G4" s="502"/>
      <c r="H4" s="502"/>
      <c r="I4" s="502"/>
      <c r="J4" s="502"/>
    </row>
    <row r="5" spans="1:10" ht="16.5" thickBot="1">
      <c r="A5" s="101"/>
      <c r="B5" s="103"/>
      <c r="C5" s="103"/>
      <c r="D5" s="103"/>
      <c r="E5" s="103"/>
      <c r="F5" s="103"/>
      <c r="G5" s="103"/>
      <c r="H5" s="103"/>
      <c r="I5" s="103"/>
      <c r="J5" s="103" t="s">
        <v>520</v>
      </c>
    </row>
    <row r="6" spans="1:10" ht="28.5" customHeight="1">
      <c r="A6" s="102"/>
      <c r="B6" s="510" t="s">
        <v>184</v>
      </c>
      <c r="C6" s="512" t="s">
        <v>171</v>
      </c>
      <c r="D6" s="515" t="s">
        <v>35</v>
      </c>
      <c r="E6" s="516"/>
      <c r="F6" s="126"/>
      <c r="G6" s="495" t="s">
        <v>171</v>
      </c>
      <c r="H6" s="495"/>
      <c r="I6" s="517" t="s">
        <v>35</v>
      </c>
      <c r="J6" s="518"/>
    </row>
    <row r="7" spans="1:10" ht="14.25">
      <c r="A7" s="96"/>
      <c r="B7" s="511"/>
      <c r="C7" s="513"/>
      <c r="D7" s="115" t="s">
        <v>554</v>
      </c>
      <c r="E7" s="115" t="s">
        <v>556</v>
      </c>
      <c r="F7" s="115"/>
      <c r="G7" s="506"/>
      <c r="H7" s="506"/>
      <c r="I7" s="519"/>
      <c r="J7" s="520"/>
    </row>
    <row r="8" spans="1:10" ht="16.5" customHeight="1">
      <c r="A8" s="96"/>
      <c r="B8" s="511"/>
      <c r="C8" s="514"/>
      <c r="D8" s="115" t="s">
        <v>555</v>
      </c>
      <c r="E8" s="115" t="s">
        <v>555</v>
      </c>
      <c r="F8" s="115"/>
      <c r="G8" s="506"/>
      <c r="H8" s="506"/>
      <c r="I8" s="107" t="s">
        <v>552</v>
      </c>
      <c r="J8" s="107" t="s">
        <v>553</v>
      </c>
    </row>
    <row r="9" spans="1:10" ht="15.75">
      <c r="A9" s="96"/>
      <c r="B9" s="489" t="s">
        <v>186</v>
      </c>
      <c r="C9" s="489"/>
      <c r="D9" s="117"/>
      <c r="E9" s="117"/>
      <c r="F9" s="115"/>
      <c r="G9" s="506" t="s">
        <v>185</v>
      </c>
      <c r="H9" s="506"/>
      <c r="I9" s="123"/>
      <c r="J9" s="123"/>
    </row>
    <row r="10" spans="1:10" ht="15.75">
      <c r="A10" s="96" t="s">
        <v>29</v>
      </c>
      <c r="B10" s="487" t="s">
        <v>210</v>
      </c>
      <c r="C10" s="487"/>
      <c r="D10" s="117">
        <v>3414720</v>
      </c>
      <c r="E10" s="117">
        <v>3644199</v>
      </c>
      <c r="F10" s="118" t="s">
        <v>29</v>
      </c>
      <c r="G10" s="490" t="s">
        <v>172</v>
      </c>
      <c r="H10" s="490"/>
      <c r="I10" s="14">
        <v>11829268</v>
      </c>
      <c r="J10" s="14">
        <v>13094268</v>
      </c>
    </row>
    <row r="11" spans="1:10" ht="15.75">
      <c r="A11" s="96" t="s">
        <v>37</v>
      </c>
      <c r="B11" s="487" t="s">
        <v>182</v>
      </c>
      <c r="C11" s="487"/>
      <c r="D11" s="117">
        <v>11600000</v>
      </c>
      <c r="E11" s="117">
        <v>11874039</v>
      </c>
      <c r="F11" s="118" t="s">
        <v>37</v>
      </c>
      <c r="G11" s="490" t="s">
        <v>180</v>
      </c>
      <c r="H11" s="490"/>
      <c r="I11" s="14">
        <v>2111214</v>
      </c>
      <c r="J11" s="14">
        <v>2320489</v>
      </c>
    </row>
    <row r="12" spans="1:10" ht="15.75">
      <c r="A12" s="96" t="s">
        <v>38</v>
      </c>
      <c r="B12" s="487" t="s">
        <v>128</v>
      </c>
      <c r="C12" s="487"/>
      <c r="D12" s="117">
        <v>25407025</v>
      </c>
      <c r="E12" s="117">
        <v>26383425</v>
      </c>
      <c r="F12" s="118" t="s">
        <v>38</v>
      </c>
      <c r="G12" s="490" t="s">
        <v>181</v>
      </c>
      <c r="H12" s="490"/>
      <c r="I12" s="14">
        <v>19642520</v>
      </c>
      <c r="J12" s="14">
        <v>30561957</v>
      </c>
    </row>
    <row r="13" spans="1:10" ht="15.75">
      <c r="A13" s="96" t="s">
        <v>39</v>
      </c>
      <c r="B13" s="487" t="s">
        <v>129</v>
      </c>
      <c r="C13" s="487"/>
      <c r="D13" s="117">
        <v>0</v>
      </c>
      <c r="E13" s="117">
        <v>1591965</v>
      </c>
      <c r="F13" s="118" t="s">
        <v>39</v>
      </c>
      <c r="G13" s="496" t="s">
        <v>158</v>
      </c>
      <c r="H13" s="521"/>
      <c r="I13" s="14">
        <f>SUM(I14:I17)</f>
        <v>6264508</v>
      </c>
      <c r="J13" s="14">
        <f>SUM(J14:J17)</f>
        <v>6416545</v>
      </c>
    </row>
    <row r="14" spans="1:10" ht="15.75">
      <c r="A14" s="127"/>
      <c r="B14" s="531"/>
      <c r="C14" s="531"/>
      <c r="D14" s="19"/>
      <c r="E14" s="19"/>
      <c r="F14" s="118" t="s">
        <v>150</v>
      </c>
      <c r="G14" s="497" t="s">
        <v>153</v>
      </c>
      <c r="H14" s="522"/>
      <c r="I14" s="14"/>
      <c r="J14" s="14"/>
    </row>
    <row r="15" spans="1:10" ht="15.75">
      <c r="A15" s="127"/>
      <c r="B15" s="531"/>
      <c r="C15" s="531"/>
      <c r="D15" s="19"/>
      <c r="E15" s="19"/>
      <c r="F15" s="118" t="s">
        <v>151</v>
      </c>
      <c r="G15" s="497" t="s">
        <v>604</v>
      </c>
      <c r="H15" s="522"/>
      <c r="I15" s="14">
        <v>2668508</v>
      </c>
      <c r="J15" s="14">
        <v>2577545</v>
      </c>
    </row>
    <row r="16" spans="1:10" ht="15.75">
      <c r="A16" s="127"/>
      <c r="B16" s="531"/>
      <c r="C16" s="531"/>
      <c r="D16" s="19"/>
      <c r="E16" s="19"/>
      <c r="F16" s="118" t="s">
        <v>152</v>
      </c>
      <c r="G16" s="493" t="s">
        <v>154</v>
      </c>
      <c r="H16" s="493"/>
      <c r="I16" s="14">
        <v>3596000</v>
      </c>
      <c r="J16" s="14">
        <v>3839000</v>
      </c>
    </row>
    <row r="17" spans="1:10" ht="16.5">
      <c r="A17" s="129"/>
      <c r="B17" s="532"/>
      <c r="C17" s="532"/>
      <c r="D17" s="130"/>
      <c r="E17" s="130"/>
      <c r="F17" s="131" t="s">
        <v>61</v>
      </c>
      <c r="G17" s="524" t="s">
        <v>159</v>
      </c>
      <c r="H17" s="525"/>
      <c r="I17" s="132"/>
      <c r="J17" s="132"/>
    </row>
    <row r="18" spans="1:10" ht="15.75">
      <c r="A18" s="145"/>
      <c r="B18" s="146"/>
      <c r="C18" s="146"/>
      <c r="D18" s="147"/>
      <c r="E18" s="147"/>
      <c r="F18" s="131"/>
      <c r="G18" s="508" t="s">
        <v>558</v>
      </c>
      <c r="H18" s="509"/>
      <c r="I18" s="132"/>
      <c r="J18" s="132">
        <v>113930</v>
      </c>
    </row>
    <row r="19" spans="1:10" ht="16.5" thickBot="1">
      <c r="A19" s="145"/>
      <c r="B19" s="146"/>
      <c r="C19" s="146"/>
      <c r="D19" s="147"/>
      <c r="E19" s="147"/>
      <c r="F19" s="148" t="s">
        <v>40</v>
      </c>
      <c r="G19" s="538" t="s">
        <v>211</v>
      </c>
      <c r="H19" s="539"/>
      <c r="I19" s="132">
        <v>8275799</v>
      </c>
      <c r="J19" s="132">
        <v>5573383</v>
      </c>
    </row>
    <row r="20" spans="1:10" ht="16.5" customHeight="1" thickBot="1">
      <c r="A20" s="145"/>
      <c r="B20" s="146"/>
      <c r="C20" s="146"/>
      <c r="D20" s="147"/>
      <c r="E20" s="147"/>
      <c r="F20" s="183"/>
      <c r="G20" s="538" t="s">
        <v>467</v>
      </c>
      <c r="H20" s="539"/>
      <c r="I20" s="184">
        <v>25421024</v>
      </c>
      <c r="J20" s="184">
        <v>0</v>
      </c>
    </row>
    <row r="21" spans="1:10" s="114" customFormat="1" ht="15.75" thickBot="1">
      <c r="A21" s="136" t="s">
        <v>156</v>
      </c>
      <c r="B21" s="533" t="s">
        <v>195</v>
      </c>
      <c r="C21" s="533"/>
      <c r="D21" s="137">
        <f>SUM(D10:D19)</f>
        <v>40421745</v>
      </c>
      <c r="E21" s="137">
        <f>SUM(E10:E19)</f>
        <v>43493628</v>
      </c>
      <c r="F21" s="138" t="s">
        <v>156</v>
      </c>
      <c r="G21" s="139" t="s">
        <v>149</v>
      </c>
      <c r="H21" s="140"/>
      <c r="I21" s="141">
        <f>+I10+I11+I12+I13+I20+I19</f>
        <v>73544333</v>
      </c>
      <c r="J21" s="141">
        <f>+J10+J11+J12+J13+J20+J19+J18</f>
        <v>58080572</v>
      </c>
    </row>
    <row r="22" spans="1:10" s="114" customFormat="1" ht="15">
      <c r="A22" s="159" t="s">
        <v>177</v>
      </c>
      <c r="B22" s="535" t="s">
        <v>96</v>
      </c>
      <c r="C22" s="536"/>
      <c r="D22" s="154">
        <f>+J21-D21</f>
        <v>17658827</v>
      </c>
      <c r="E22" s="154">
        <f>+K21-E21</f>
        <v>-43493628</v>
      </c>
      <c r="F22" s="155"/>
      <c r="G22" s="156"/>
      <c r="H22" s="157"/>
      <c r="I22" s="158"/>
      <c r="J22" s="158"/>
    </row>
    <row r="23" spans="1:10" ht="15.75">
      <c r="A23" s="94" t="s">
        <v>40</v>
      </c>
      <c r="B23" s="537" t="s">
        <v>175</v>
      </c>
      <c r="C23" s="537"/>
      <c r="D23" s="133"/>
      <c r="E23" s="133"/>
      <c r="F23" s="134" t="s">
        <v>41</v>
      </c>
      <c r="G23" s="529" t="s">
        <v>194</v>
      </c>
      <c r="H23" s="529"/>
      <c r="I23" s="135">
        <v>11819819</v>
      </c>
      <c r="J23" s="135">
        <v>9279274</v>
      </c>
    </row>
    <row r="24" spans="1:10" ht="15.75">
      <c r="A24" s="96" t="s">
        <v>41</v>
      </c>
      <c r="B24" s="487" t="s">
        <v>130</v>
      </c>
      <c r="C24" s="487"/>
      <c r="D24" s="117">
        <v>9319819</v>
      </c>
      <c r="E24" s="117">
        <v>48976190</v>
      </c>
      <c r="F24" s="118" t="s">
        <v>42</v>
      </c>
      <c r="G24" s="490" t="s">
        <v>173</v>
      </c>
      <c r="H24" s="490"/>
      <c r="I24" s="14">
        <v>4000000</v>
      </c>
      <c r="J24" s="14">
        <v>64732560</v>
      </c>
    </row>
    <row r="25" spans="1:10" ht="16.5" thickBot="1">
      <c r="A25" s="95" t="s">
        <v>42</v>
      </c>
      <c r="B25" s="544" t="s">
        <v>131</v>
      </c>
      <c r="C25" s="544"/>
      <c r="D25" s="142">
        <v>0</v>
      </c>
      <c r="E25" s="142">
        <v>0</v>
      </c>
      <c r="F25" s="131" t="s">
        <v>43</v>
      </c>
      <c r="G25" s="542" t="s">
        <v>155</v>
      </c>
      <c r="H25" s="542"/>
      <c r="I25" s="132"/>
      <c r="J25" s="132"/>
    </row>
    <row r="26" spans="1:10" s="114" customFormat="1" ht="15.75" thickBot="1">
      <c r="A26" s="136" t="s">
        <v>133</v>
      </c>
      <c r="B26" s="533" t="s">
        <v>196</v>
      </c>
      <c r="C26" s="533"/>
      <c r="D26" s="137">
        <f>SUM(D23:D25)</f>
        <v>9319819</v>
      </c>
      <c r="E26" s="137">
        <f>SUM(E23:E25)</f>
        <v>48976190</v>
      </c>
      <c r="F26" s="138" t="s">
        <v>133</v>
      </c>
      <c r="G26" s="546" t="s">
        <v>199</v>
      </c>
      <c r="H26" s="546"/>
      <c r="I26" s="143">
        <f>SUM(I23:I25)</f>
        <v>15819819</v>
      </c>
      <c r="J26" s="143">
        <f>SUM(J23:J25)</f>
        <v>74011834</v>
      </c>
    </row>
    <row r="27" spans="1:10" s="114" customFormat="1" ht="15">
      <c r="A27" s="159" t="s">
        <v>178</v>
      </c>
      <c r="B27" s="535" t="s">
        <v>201</v>
      </c>
      <c r="C27" s="536"/>
      <c r="D27" s="154">
        <f>+J26-D26</f>
        <v>64692015</v>
      </c>
      <c r="E27" s="154">
        <f>+K26-E26</f>
        <v>-48976190</v>
      </c>
      <c r="F27" s="155"/>
      <c r="G27" s="540" t="s">
        <v>468</v>
      </c>
      <c r="H27" s="541"/>
      <c r="I27" s="160">
        <v>1016281</v>
      </c>
      <c r="J27" s="160">
        <v>1085176</v>
      </c>
    </row>
    <row r="28" spans="1:10" ht="15.75">
      <c r="A28" s="94" t="s">
        <v>43</v>
      </c>
      <c r="B28" s="537" t="s">
        <v>132</v>
      </c>
      <c r="C28" s="537"/>
      <c r="D28" s="133"/>
      <c r="E28" s="133"/>
      <c r="F28" s="144"/>
      <c r="G28" s="526"/>
      <c r="H28" s="526"/>
      <c r="I28" s="128"/>
      <c r="J28" s="128"/>
    </row>
    <row r="29" spans="1:10" ht="15.75">
      <c r="A29" s="96" t="s">
        <v>44</v>
      </c>
      <c r="B29" s="487" t="s">
        <v>136</v>
      </c>
      <c r="C29" s="487"/>
      <c r="D29" s="117">
        <v>40638869</v>
      </c>
      <c r="E29" s="117">
        <v>40638869</v>
      </c>
      <c r="F29" s="122"/>
      <c r="G29" s="545"/>
      <c r="H29" s="545"/>
      <c r="I29" s="128"/>
      <c r="J29" s="128"/>
    </row>
    <row r="30" spans="1:10" ht="15.75">
      <c r="A30" s="96" t="s">
        <v>30</v>
      </c>
      <c r="B30" s="487" t="s">
        <v>138</v>
      </c>
      <c r="C30" s="487"/>
      <c r="D30" s="117"/>
      <c r="E30" s="117"/>
      <c r="F30" s="144"/>
      <c r="G30" s="526"/>
      <c r="H30" s="526"/>
      <c r="I30" s="128"/>
      <c r="J30" s="128"/>
    </row>
    <row r="31" spans="1:10" ht="15.75">
      <c r="A31" s="96" t="s">
        <v>45</v>
      </c>
      <c r="B31" s="487" t="s">
        <v>139</v>
      </c>
      <c r="C31" s="487"/>
      <c r="D31" s="117"/>
      <c r="E31" s="117"/>
      <c r="F31" s="144"/>
      <c r="G31" s="548"/>
      <c r="H31" s="549"/>
      <c r="I31" s="128"/>
      <c r="J31" s="128"/>
    </row>
    <row r="32" spans="1:10" ht="15.75">
      <c r="A32" s="96" t="s">
        <v>46</v>
      </c>
      <c r="B32" s="487" t="s">
        <v>557</v>
      </c>
      <c r="C32" s="487"/>
      <c r="D32" s="117"/>
      <c r="E32" s="117">
        <v>68895</v>
      </c>
      <c r="F32" s="144"/>
      <c r="G32" s="390"/>
      <c r="H32" s="391"/>
      <c r="I32" s="128"/>
      <c r="J32" s="128"/>
    </row>
    <row r="33" spans="1:10" ht="15.75">
      <c r="A33" s="124" t="s">
        <v>137</v>
      </c>
      <c r="B33" s="543" t="s">
        <v>197</v>
      </c>
      <c r="C33" s="543"/>
      <c r="D33" s="119">
        <f>D28+D29+D30+D31</f>
        <v>40638869</v>
      </c>
      <c r="E33" s="119">
        <f>E28+E29+E30+E31+E32</f>
        <v>40707764</v>
      </c>
      <c r="F33" s="116" t="s">
        <v>140</v>
      </c>
      <c r="G33" s="527" t="s">
        <v>27</v>
      </c>
      <c r="H33" s="528"/>
      <c r="I33" s="17">
        <v>1016281</v>
      </c>
      <c r="J33" s="17">
        <v>1085176</v>
      </c>
    </row>
    <row r="34" spans="1:10" ht="18.75">
      <c r="A34" s="96"/>
      <c r="B34" s="487"/>
      <c r="C34" s="487"/>
      <c r="D34" s="121"/>
      <c r="E34" s="121"/>
      <c r="F34" s="122"/>
      <c r="G34" s="492"/>
      <c r="H34" s="492"/>
      <c r="I34" s="20"/>
      <c r="J34" s="20"/>
    </row>
    <row r="35" spans="1:10" ht="19.5">
      <c r="A35" s="124" t="s">
        <v>140</v>
      </c>
      <c r="B35" s="484" t="s">
        <v>198</v>
      </c>
      <c r="C35" s="484"/>
      <c r="D35" s="121">
        <f>+D21+D26+D33</f>
        <v>90380433</v>
      </c>
      <c r="E35" s="121">
        <f>+E21+E26+E33</f>
        <v>133177582</v>
      </c>
      <c r="F35" s="120" t="s">
        <v>143</v>
      </c>
      <c r="G35" s="486" t="s">
        <v>200</v>
      </c>
      <c r="H35" s="486"/>
      <c r="I35" s="12">
        <f>+I21+I26+I30+I33+I28</f>
        <v>90380433</v>
      </c>
      <c r="J35" s="12">
        <f>+J21+J26+J30+J33+J28</f>
        <v>133177582</v>
      </c>
    </row>
    <row r="36" spans="1:10" ht="19.5" thickBot="1">
      <c r="A36" s="97"/>
      <c r="B36" s="547" t="s">
        <v>127</v>
      </c>
      <c r="C36" s="547"/>
      <c r="D36" s="32">
        <f>+D35-J35</f>
        <v>-42797149</v>
      </c>
      <c r="E36" s="32">
        <f>+E35-K35</f>
        <v>133177582</v>
      </c>
      <c r="F36" s="106"/>
      <c r="G36" s="534"/>
      <c r="H36" s="534"/>
      <c r="I36" s="125"/>
      <c r="J36" s="125"/>
    </row>
    <row r="37" spans="2:10" ht="15.75">
      <c r="B37" s="109"/>
      <c r="C37" s="109"/>
      <c r="D37" s="109"/>
      <c r="E37" s="109"/>
      <c r="F37" s="109"/>
      <c r="G37" s="523"/>
      <c r="H37" s="523"/>
      <c r="I37" s="110"/>
      <c r="J37" s="110"/>
    </row>
    <row r="38" spans="2:10" ht="15.75">
      <c r="B38" s="109"/>
      <c r="C38" s="109"/>
      <c r="D38" s="149"/>
      <c r="E38" s="149"/>
      <c r="F38" s="109"/>
      <c r="G38" s="523"/>
      <c r="H38" s="523"/>
      <c r="I38" s="388"/>
      <c r="J38" s="110"/>
    </row>
    <row r="39" spans="2:10" ht="15.75">
      <c r="B39" s="109"/>
      <c r="C39" s="109"/>
      <c r="D39" s="109"/>
      <c r="E39" s="109"/>
      <c r="F39" s="109"/>
      <c r="G39" s="523"/>
      <c r="H39" s="523"/>
      <c r="I39" s="388"/>
      <c r="J39" s="110"/>
    </row>
    <row r="40" spans="2:10" ht="15.75">
      <c r="B40" s="109"/>
      <c r="C40" s="109"/>
      <c r="D40" s="109"/>
      <c r="E40" s="109"/>
      <c r="F40" s="109"/>
      <c r="G40" s="523"/>
      <c r="H40" s="523"/>
      <c r="I40" s="388"/>
      <c r="J40" s="110"/>
    </row>
    <row r="41" spans="2:10" ht="15.75">
      <c r="B41" s="109"/>
      <c r="C41" s="109"/>
      <c r="D41" s="109"/>
      <c r="E41" s="109"/>
      <c r="F41" s="109"/>
      <c r="G41" s="523"/>
      <c r="H41" s="523"/>
      <c r="I41" s="388"/>
      <c r="J41" s="110"/>
    </row>
    <row r="42" spans="2:10" ht="15.75">
      <c r="B42" s="109"/>
      <c r="C42" s="109"/>
      <c r="D42" s="109"/>
      <c r="E42" s="109"/>
      <c r="F42" s="109"/>
      <c r="G42" s="523"/>
      <c r="H42" s="523"/>
      <c r="I42" s="388"/>
      <c r="J42" s="110"/>
    </row>
    <row r="43" spans="2:10" ht="15.75">
      <c r="B43" s="109"/>
      <c r="C43" s="109"/>
      <c r="D43" s="109"/>
      <c r="E43" s="109"/>
      <c r="F43" s="109"/>
      <c r="G43" s="523"/>
      <c r="H43" s="523"/>
      <c r="I43" s="388"/>
      <c r="J43" s="110"/>
    </row>
    <row r="44" spans="2:10" ht="15.75">
      <c r="B44" s="109"/>
      <c r="C44" s="109"/>
      <c r="D44" s="109"/>
      <c r="E44" s="109"/>
      <c r="F44" s="109"/>
      <c r="G44" s="523"/>
      <c r="H44" s="523"/>
      <c r="I44" s="388"/>
      <c r="J44" s="110"/>
    </row>
    <row r="45" spans="2:10" ht="15.75">
      <c r="B45" s="109"/>
      <c r="C45" s="109"/>
      <c r="D45" s="109"/>
      <c r="E45" s="109"/>
      <c r="F45" s="109"/>
      <c r="G45" s="523"/>
      <c r="H45" s="523"/>
      <c r="I45" s="388"/>
      <c r="J45" s="110"/>
    </row>
    <row r="46" spans="2:10" ht="15.75">
      <c r="B46" s="109"/>
      <c r="C46" s="109"/>
      <c r="D46" s="109"/>
      <c r="E46" s="109"/>
      <c r="F46" s="109"/>
      <c r="G46" s="523"/>
      <c r="H46" s="523"/>
      <c r="I46" s="388"/>
      <c r="J46" s="110"/>
    </row>
    <row r="47" spans="2:10" ht="15.75">
      <c r="B47" s="109"/>
      <c r="C47" s="109"/>
      <c r="D47" s="109"/>
      <c r="E47" s="109"/>
      <c r="F47" s="109"/>
      <c r="G47" s="523"/>
      <c r="H47" s="523"/>
      <c r="I47" s="388"/>
      <c r="J47" s="110"/>
    </row>
    <row r="48" spans="2:10" ht="15.75">
      <c r="B48" s="109"/>
      <c r="C48" s="109"/>
      <c r="D48" s="109"/>
      <c r="E48" s="109"/>
      <c r="F48" s="109"/>
      <c r="G48" s="523"/>
      <c r="H48" s="523"/>
      <c r="I48" s="388"/>
      <c r="J48" s="110"/>
    </row>
    <row r="49" spans="2:10" ht="15.75">
      <c r="B49" s="109"/>
      <c r="C49" s="109"/>
      <c r="D49" s="109"/>
      <c r="E49" s="109"/>
      <c r="F49" s="109"/>
      <c r="G49" s="523"/>
      <c r="H49" s="523"/>
      <c r="I49" s="388"/>
      <c r="J49" s="110"/>
    </row>
    <row r="50" spans="2:10" ht="18.75">
      <c r="B50" s="109"/>
      <c r="C50" s="109"/>
      <c r="D50" s="109"/>
      <c r="E50" s="109"/>
      <c r="F50" s="109"/>
      <c r="G50" s="523"/>
      <c r="H50" s="523"/>
      <c r="I50" s="388"/>
      <c r="J50" s="111"/>
    </row>
    <row r="51" spans="2:10" ht="18.75">
      <c r="B51" s="112"/>
      <c r="C51" s="112"/>
      <c r="D51" s="112"/>
      <c r="E51" s="112"/>
      <c r="F51" s="112"/>
      <c r="G51" s="530"/>
      <c r="H51" s="530"/>
      <c r="I51" s="389"/>
      <c r="J51" s="111"/>
    </row>
    <row r="52" spans="2:10" ht="18.75">
      <c r="B52" s="109"/>
      <c r="C52" s="109"/>
      <c r="D52" s="109"/>
      <c r="E52" s="109"/>
      <c r="F52" s="109"/>
      <c r="G52" s="530"/>
      <c r="H52" s="530"/>
      <c r="I52" s="389"/>
      <c r="J52" s="113"/>
    </row>
  </sheetData>
  <sheetProtection/>
  <mergeCells count="75">
    <mergeCell ref="G52:H52"/>
    <mergeCell ref="B27:C27"/>
    <mergeCell ref="B25:C25"/>
    <mergeCell ref="G28:H28"/>
    <mergeCell ref="G29:H29"/>
    <mergeCell ref="B35:C35"/>
    <mergeCell ref="G26:H26"/>
    <mergeCell ref="B36:C36"/>
    <mergeCell ref="G31:H31"/>
    <mergeCell ref="G48:H48"/>
    <mergeCell ref="B31:C31"/>
    <mergeCell ref="B34:C34"/>
    <mergeCell ref="G25:H25"/>
    <mergeCell ref="B9:C9"/>
    <mergeCell ref="B10:C10"/>
    <mergeCell ref="B11:C11"/>
    <mergeCell ref="B12:C12"/>
    <mergeCell ref="B13:C13"/>
    <mergeCell ref="B33:C33"/>
    <mergeCell ref="B16:C16"/>
    <mergeCell ref="B26:C26"/>
    <mergeCell ref="B28:C28"/>
    <mergeCell ref="G20:H20"/>
    <mergeCell ref="G19:H19"/>
    <mergeCell ref="B30:C30"/>
    <mergeCell ref="B29:C29"/>
    <mergeCell ref="B23:C23"/>
    <mergeCell ref="B24:C24"/>
    <mergeCell ref="G27:H27"/>
    <mergeCell ref="B14:C14"/>
    <mergeCell ref="B15:C15"/>
    <mergeCell ref="B17:C17"/>
    <mergeCell ref="B21:C21"/>
    <mergeCell ref="G46:H46"/>
    <mergeCell ref="G34:H34"/>
    <mergeCell ref="G35:H35"/>
    <mergeCell ref="G36:H36"/>
    <mergeCell ref="G37:H37"/>
    <mergeCell ref="B22:C22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47:H47"/>
    <mergeCell ref="G14:H14"/>
    <mergeCell ref="G38:H38"/>
    <mergeCell ref="G39:H39"/>
    <mergeCell ref="G15:H15"/>
    <mergeCell ref="G16:H16"/>
    <mergeCell ref="G17:H17"/>
    <mergeCell ref="G30:H30"/>
    <mergeCell ref="G33:H33"/>
    <mergeCell ref="G23:H23"/>
    <mergeCell ref="G24:H24"/>
    <mergeCell ref="I6:J7"/>
    <mergeCell ref="G9:H9"/>
    <mergeCell ref="G10:H10"/>
    <mergeCell ref="G11:H11"/>
    <mergeCell ref="G12:H12"/>
    <mergeCell ref="G13:H13"/>
    <mergeCell ref="B32:C32"/>
    <mergeCell ref="G18:H18"/>
    <mergeCell ref="B1:J1"/>
    <mergeCell ref="B2:J2"/>
    <mergeCell ref="B3:J3"/>
    <mergeCell ref="B4:J4"/>
    <mergeCell ref="B6:B8"/>
    <mergeCell ref="G6:H8"/>
    <mergeCell ref="C6:C8"/>
    <mergeCell ref="D6:E6"/>
  </mergeCells>
  <printOptions/>
  <pageMargins left="0.16" right="0.17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48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55.125" style="340" customWidth="1"/>
    <col min="2" max="2" width="13.375" style="322" customWidth="1"/>
    <col min="3" max="3" width="14.00390625" style="340" customWidth="1"/>
    <col min="4" max="4" width="12.625" style="322" customWidth="1"/>
    <col min="5" max="5" width="14.25390625" style="322" customWidth="1"/>
    <col min="6" max="6" width="14.25390625" style="322" bestFit="1" customWidth="1"/>
  </cols>
  <sheetData>
    <row r="1" spans="1:5" ht="18.75">
      <c r="A1" s="550" t="s">
        <v>599</v>
      </c>
      <c r="B1" s="550"/>
      <c r="C1" s="550"/>
      <c r="D1" s="550"/>
      <c r="E1" s="550"/>
    </row>
    <row r="2" spans="1:6" ht="15.75">
      <c r="A2" s="501" t="s">
        <v>220</v>
      </c>
      <c r="B2" s="501"/>
      <c r="C2" s="501"/>
      <c r="D2" s="501"/>
      <c r="E2" s="501"/>
      <c r="F2" s="501"/>
    </row>
    <row r="4" spans="1:6" ht="18.75">
      <c r="A4" s="550" t="s">
        <v>203</v>
      </c>
      <c r="B4" s="551"/>
      <c r="C4" s="551"/>
      <c r="D4" s="551"/>
      <c r="E4" s="551"/>
      <c r="F4" s="323"/>
    </row>
    <row r="5" spans="1:6" ht="26.25" thickBot="1">
      <c r="A5" s="392"/>
      <c r="B5" s="393"/>
      <c r="C5" s="392"/>
      <c r="D5" s="393"/>
      <c r="E5" s="393"/>
      <c r="F5" s="323" t="s">
        <v>479</v>
      </c>
    </row>
    <row r="6" spans="1:6" ht="19.5" customHeight="1" thickBot="1">
      <c r="A6" s="552" t="s">
        <v>634</v>
      </c>
      <c r="B6" s="553"/>
      <c r="C6" s="553"/>
      <c r="D6" s="553"/>
      <c r="E6" s="553"/>
      <c r="F6" s="553"/>
    </row>
    <row r="7" spans="1:6" ht="36.75" thickBot="1">
      <c r="A7" s="414" t="s">
        <v>123</v>
      </c>
      <c r="B7" s="324" t="s">
        <v>124</v>
      </c>
      <c r="C7" s="415" t="s">
        <v>125</v>
      </c>
      <c r="D7" s="415" t="s">
        <v>471</v>
      </c>
      <c r="E7" s="415" t="s">
        <v>472</v>
      </c>
      <c r="F7" s="415" t="s">
        <v>565</v>
      </c>
    </row>
    <row r="8" spans="1:6" ht="13.5" thickBot="1">
      <c r="A8" s="416">
        <v>1</v>
      </c>
      <c r="B8" s="417">
        <v>2</v>
      </c>
      <c r="C8" s="417">
        <v>3</v>
      </c>
      <c r="D8" s="417">
        <v>4</v>
      </c>
      <c r="E8" s="417">
        <v>5</v>
      </c>
      <c r="F8" s="417">
        <v>5</v>
      </c>
    </row>
    <row r="9" spans="1:6" s="434" customFormat="1" ht="20.25" customHeight="1" thickBot="1">
      <c r="A9" s="438" t="s">
        <v>605</v>
      </c>
      <c r="B9" s="435">
        <f>B12+B10</f>
        <v>4000000</v>
      </c>
      <c r="C9" s="437">
        <f>C12+C10</f>
        <v>0</v>
      </c>
      <c r="D9" s="435">
        <f>D12+D10</f>
        <v>0</v>
      </c>
      <c r="E9" s="437">
        <f>E12+E10</f>
        <v>4000000</v>
      </c>
      <c r="F9" s="436">
        <f>F10+F11+F12+F13+F14+F15+F16</f>
        <v>64732560</v>
      </c>
    </row>
    <row r="10" spans="1:6" ht="20.25" customHeight="1">
      <c r="A10" s="335" t="s">
        <v>253</v>
      </c>
      <c r="B10" s="332">
        <v>1000000</v>
      </c>
      <c r="C10" s="418"/>
      <c r="D10" s="332"/>
      <c r="E10" s="332">
        <v>1000000</v>
      </c>
      <c r="F10" s="332">
        <v>1000000</v>
      </c>
    </row>
    <row r="11" spans="1:6" ht="20.25" customHeight="1" thickBot="1">
      <c r="A11" s="326" t="s">
        <v>606</v>
      </c>
      <c r="B11" s="329"/>
      <c r="C11" s="327"/>
      <c r="D11" s="325"/>
      <c r="E11" s="325"/>
      <c r="F11" s="325">
        <v>21742</v>
      </c>
    </row>
    <row r="12" spans="1:6" ht="36" customHeight="1" thickBot="1">
      <c r="A12" s="328" t="s">
        <v>473</v>
      </c>
      <c r="B12" s="329">
        <v>3000000</v>
      </c>
      <c r="C12" s="327"/>
      <c r="D12" s="325"/>
      <c r="E12" s="325">
        <v>3000000</v>
      </c>
      <c r="F12" s="325">
        <v>0</v>
      </c>
    </row>
    <row r="13" spans="1:6" ht="36" customHeight="1" thickBot="1">
      <c r="A13" s="419" t="s">
        <v>566</v>
      </c>
      <c r="B13" s="325"/>
      <c r="C13" s="327"/>
      <c r="D13" s="325"/>
      <c r="E13" s="325">
        <v>0</v>
      </c>
      <c r="F13" s="325">
        <v>20848250</v>
      </c>
    </row>
    <row r="14" spans="1:6" ht="13.5" thickBot="1">
      <c r="A14" s="419" t="s">
        <v>567</v>
      </c>
      <c r="B14" s="329"/>
      <c r="C14" s="327"/>
      <c r="D14" s="325"/>
      <c r="E14" s="325">
        <v>0</v>
      </c>
      <c r="F14" s="325">
        <v>10043367</v>
      </c>
    </row>
    <row r="15" spans="1:6" ht="12.75">
      <c r="A15" s="419" t="s">
        <v>607</v>
      </c>
      <c r="B15" s="329"/>
      <c r="C15" s="420"/>
      <c r="D15" s="329"/>
      <c r="E15" s="329"/>
      <c r="F15" s="329">
        <v>27722132</v>
      </c>
    </row>
    <row r="16" spans="1:6" ht="32.25" thickBot="1">
      <c r="A16" s="335" t="s">
        <v>475</v>
      </c>
      <c r="B16" s="421"/>
      <c r="C16" s="422"/>
      <c r="D16" s="421"/>
      <c r="E16" s="421"/>
      <c r="F16" s="421">
        <v>5097069</v>
      </c>
    </row>
    <row r="17" spans="1:6" s="425" customFormat="1" ht="36" customHeight="1" thickBot="1">
      <c r="A17" s="423" t="s">
        <v>474</v>
      </c>
      <c r="B17" s="424">
        <f>B18+B19+B20+B21</f>
        <v>11819819</v>
      </c>
      <c r="C17" s="424">
        <f>C18+C19+C20+C21</f>
        <v>2020</v>
      </c>
      <c r="D17" s="424">
        <f>D18+D19+D20+D21</f>
        <v>0</v>
      </c>
      <c r="E17" s="424">
        <f>E18+E19+E20+E21</f>
        <v>11819819</v>
      </c>
      <c r="F17" s="424">
        <f>F22+F28+F29</f>
        <v>9279274</v>
      </c>
    </row>
    <row r="18" spans="1:6" ht="41.25" customHeight="1">
      <c r="A18" s="330" t="s">
        <v>475</v>
      </c>
      <c r="B18" s="336">
        <v>9319819</v>
      </c>
      <c r="C18" s="426">
        <v>2020</v>
      </c>
      <c r="D18" s="336"/>
      <c r="E18" s="336">
        <v>9319819</v>
      </c>
      <c r="F18" s="336">
        <v>4222750</v>
      </c>
    </row>
    <row r="19" spans="1:6" s="334" customFormat="1" ht="20.25" customHeight="1">
      <c r="A19" s="331" t="s">
        <v>476</v>
      </c>
      <c r="B19" s="332">
        <v>1000000</v>
      </c>
      <c r="C19" s="333"/>
      <c r="D19" s="332"/>
      <c r="E19" s="332">
        <v>1000000</v>
      </c>
      <c r="F19" s="332">
        <v>0</v>
      </c>
    </row>
    <row r="20" spans="1:6" s="334" customFormat="1" ht="29.25" customHeight="1">
      <c r="A20" s="331" t="s">
        <v>477</v>
      </c>
      <c r="B20" s="325">
        <v>1000000</v>
      </c>
      <c r="C20" s="327"/>
      <c r="D20" s="325"/>
      <c r="E20" s="325">
        <v>1000000</v>
      </c>
      <c r="F20" s="325">
        <v>1400000</v>
      </c>
    </row>
    <row r="21" spans="1:6" s="334" customFormat="1" ht="29.25" customHeight="1" thickBot="1">
      <c r="A21" s="335" t="s">
        <v>478</v>
      </c>
      <c r="B21" s="336">
        <v>500000</v>
      </c>
      <c r="C21" s="337"/>
      <c r="D21" s="336"/>
      <c r="E21" s="336">
        <v>500000</v>
      </c>
      <c r="F21" s="336">
        <v>500000</v>
      </c>
    </row>
    <row r="22" spans="1:6" s="431" customFormat="1" ht="29.25" customHeight="1" thickBot="1">
      <c r="A22" s="427" t="s">
        <v>608</v>
      </c>
      <c r="B22" s="428"/>
      <c r="C22" s="429"/>
      <c r="D22" s="430"/>
      <c r="E22" s="428">
        <f>E18+E19+E20+E21</f>
        <v>11819819</v>
      </c>
      <c r="F22" s="428">
        <f>F18+F19+F20+F21</f>
        <v>6122750</v>
      </c>
    </row>
    <row r="23" spans="1:6" s="334" customFormat="1" ht="29.25" customHeight="1">
      <c r="A23" s="335" t="s">
        <v>568</v>
      </c>
      <c r="B23" s="336"/>
      <c r="C23" s="337"/>
      <c r="D23" s="336"/>
      <c r="E23" s="336"/>
      <c r="F23" s="336">
        <v>38786</v>
      </c>
    </row>
    <row r="24" spans="1:6" s="334" customFormat="1" ht="29.25" customHeight="1">
      <c r="A24" s="335" t="s">
        <v>609</v>
      </c>
      <c r="B24" s="336"/>
      <c r="C24" s="337"/>
      <c r="D24" s="336"/>
      <c r="E24" s="336"/>
      <c r="F24" s="336">
        <v>48000</v>
      </c>
    </row>
    <row r="25" spans="1:6" s="334" customFormat="1" ht="29.25" customHeight="1">
      <c r="A25" s="335" t="s">
        <v>610</v>
      </c>
      <c r="B25" s="336"/>
      <c r="C25" s="337"/>
      <c r="D25" s="336"/>
      <c r="E25" s="336"/>
      <c r="F25" s="336">
        <v>17912</v>
      </c>
    </row>
    <row r="26" spans="1:6" s="334" customFormat="1" ht="29.25" customHeight="1">
      <c r="A26" s="335" t="s">
        <v>611</v>
      </c>
      <c r="B26" s="336"/>
      <c r="C26" s="337"/>
      <c r="D26" s="336"/>
      <c r="E26" s="336"/>
      <c r="F26" s="336">
        <v>125730</v>
      </c>
    </row>
    <row r="27" spans="1:6" s="334" customFormat="1" ht="29.25" customHeight="1" thickBot="1">
      <c r="A27" s="334" t="s">
        <v>612</v>
      </c>
      <c r="B27" s="336"/>
      <c r="C27" s="337"/>
      <c r="D27" s="336"/>
      <c r="E27" s="336"/>
      <c r="F27" s="336">
        <v>2826096</v>
      </c>
    </row>
    <row r="28" spans="1:6" s="431" customFormat="1" ht="29.25" customHeight="1" thickBot="1">
      <c r="A28" s="427" t="s">
        <v>613</v>
      </c>
      <c r="B28" s="428"/>
      <c r="C28" s="429"/>
      <c r="D28" s="430"/>
      <c r="E28" s="428">
        <f>E25+E26+E29+E27</f>
        <v>0</v>
      </c>
      <c r="F28" s="428">
        <f>F23+F24+F25+F26+F27</f>
        <v>3056524</v>
      </c>
    </row>
    <row r="29" spans="1:6" s="334" customFormat="1" ht="38.25" customHeight="1" thickBot="1">
      <c r="A29" s="335" t="s">
        <v>614</v>
      </c>
      <c r="B29" s="336"/>
      <c r="C29" s="337"/>
      <c r="D29" s="336"/>
      <c r="E29" s="336"/>
      <c r="F29" s="336">
        <v>100000</v>
      </c>
    </row>
    <row r="30" spans="1:6" s="431" customFormat="1" ht="29.25" customHeight="1" thickBot="1">
      <c r="A30" s="427" t="s">
        <v>615</v>
      </c>
      <c r="B30" s="428"/>
      <c r="C30" s="432"/>
      <c r="D30" s="433"/>
      <c r="E30" s="428"/>
      <c r="F30" s="428">
        <f>F29</f>
        <v>100000</v>
      </c>
    </row>
    <row r="31" spans="1:6" ht="20.25" customHeight="1" thickBot="1">
      <c r="A31" s="338" t="s">
        <v>126</v>
      </c>
      <c r="B31" s="339">
        <f>B17+B9</f>
        <v>15819819</v>
      </c>
      <c r="C31" s="339"/>
      <c r="D31" s="339">
        <f>D17+D9</f>
        <v>0</v>
      </c>
      <c r="E31" s="339">
        <f>E17+E9</f>
        <v>15819819</v>
      </c>
      <c r="F31" s="339">
        <f>F30+F28+F22+F9</f>
        <v>74011834</v>
      </c>
    </row>
    <row r="35" spans="1:6" ht="12.75">
      <c r="A35" s="322"/>
      <c r="F35"/>
    </row>
    <row r="36" spans="1:6" ht="12.75">
      <c r="A36" s="322"/>
      <c r="F36"/>
    </row>
    <row r="37" spans="1:6" ht="12.75">
      <c r="A37" s="322"/>
      <c r="F37"/>
    </row>
    <row r="38" spans="1:6" ht="12.75">
      <c r="A38" s="322"/>
      <c r="F38"/>
    </row>
    <row r="39" spans="1:6" ht="12.75">
      <c r="A39" s="322"/>
      <c r="F39"/>
    </row>
    <row r="40" spans="1:6" ht="12.75">
      <c r="A40" s="322"/>
      <c r="F40"/>
    </row>
    <row r="41" spans="1:6" ht="12.75">
      <c r="A41" s="322"/>
      <c r="B41" s="341"/>
      <c r="C41" s="341"/>
      <c r="F41"/>
    </row>
    <row r="42" spans="1:6" ht="12.75">
      <c r="A42" s="322"/>
      <c r="B42" s="341"/>
      <c r="C42" s="341"/>
      <c r="F42"/>
    </row>
    <row r="43" spans="1:6" ht="12.75">
      <c r="A43" s="322"/>
      <c r="B43" s="341"/>
      <c r="C43" s="341"/>
      <c r="F43"/>
    </row>
    <row r="44" spans="1:6" ht="12.75">
      <c r="A44" s="322"/>
      <c r="B44" s="341"/>
      <c r="F44"/>
    </row>
    <row r="45" spans="1:6" ht="12.75">
      <c r="A45" s="322"/>
      <c r="B45" s="342"/>
      <c r="F45"/>
    </row>
    <row r="46" spans="1:4" ht="15.75">
      <c r="A46" s="343"/>
      <c r="C46" s="341"/>
      <c r="D46" s="341"/>
    </row>
    <row r="47" spans="1:4" ht="15.75">
      <c r="A47" s="343"/>
      <c r="C47" s="341"/>
      <c r="D47" s="341"/>
    </row>
    <row r="48" spans="3:4" ht="12.75">
      <c r="C48" s="341"/>
      <c r="D48" s="341"/>
    </row>
  </sheetData>
  <sheetProtection/>
  <mergeCells count="4">
    <mergeCell ref="A1:E1"/>
    <mergeCell ref="A2:F2"/>
    <mergeCell ref="A4:E4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P157"/>
  <sheetViews>
    <sheetView showGridLines="0" zoomScaleSheetLayoutView="100" zoomScalePageLayoutView="0" workbookViewId="0" topLeftCell="A10">
      <selection activeCell="AR7" sqref="AR7"/>
    </sheetView>
  </sheetViews>
  <sheetFormatPr defaultColWidth="3.25390625" defaultRowHeight="12.75"/>
  <cols>
    <col min="1" max="6" width="3.25390625" style="21" customWidth="1"/>
    <col min="7" max="7" width="5.125" style="21" customWidth="1"/>
    <col min="8" max="8" width="3.25390625" style="21" customWidth="1"/>
    <col min="9" max="9" width="13.75390625" style="21" bestFit="1" customWidth="1"/>
    <col min="10" max="11" width="3.25390625" style="21" customWidth="1"/>
    <col min="12" max="12" width="3.875" style="21" customWidth="1"/>
    <col min="13" max="14" width="3.25390625" style="21" hidden="1" customWidth="1"/>
    <col min="15" max="15" width="4.375" style="21" hidden="1" customWidth="1"/>
    <col min="16" max="19" width="3.25390625" style="21" hidden="1" customWidth="1"/>
    <col min="20" max="20" width="2.375" style="21" customWidth="1"/>
    <col min="21" max="21" width="8.125" style="21" customWidth="1"/>
    <col min="22" max="25" width="3.25390625" style="21" customWidth="1"/>
    <col min="26" max="26" width="2.75390625" style="21" customWidth="1"/>
    <col min="27" max="27" width="4.25390625" style="21" bestFit="1" customWidth="1"/>
    <col min="28" max="28" width="2.125" style="21" customWidth="1"/>
    <col min="29" max="29" width="3.00390625" style="21" hidden="1" customWidth="1"/>
    <col min="30" max="30" width="2.875" style="21" hidden="1" customWidth="1"/>
    <col min="31" max="31" width="2.375" style="21" hidden="1" customWidth="1"/>
    <col min="32" max="33" width="9.125" style="21" customWidth="1"/>
    <col min="34" max="34" width="2.00390625" style="21" customWidth="1"/>
    <col min="35" max="36" width="9.125" style="21" hidden="1" customWidth="1"/>
    <col min="37" max="37" width="1.875" style="21" customWidth="1"/>
    <col min="38" max="39" width="9.125" style="21" hidden="1" customWidth="1"/>
    <col min="40" max="40" width="1.00390625" style="21" customWidth="1"/>
    <col min="41" max="42" width="9.125" style="21" hidden="1" customWidth="1"/>
    <col min="43" max="252" width="9.125" style="21" customWidth="1"/>
    <col min="253" max="16384" width="3.25390625" style="21" customWidth="1"/>
  </cols>
  <sheetData>
    <row r="1" spans="1:31" ht="22.5" customHeight="1">
      <c r="A1" s="591" t="s">
        <v>616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</row>
    <row r="2" spans="1:31" ht="15.75">
      <c r="A2" s="591" t="s">
        <v>220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</row>
    <row r="3" spans="1:31" ht="15.7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</row>
    <row r="4" spans="1:31" ht="15.75">
      <c r="A4" s="594" t="s">
        <v>561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</row>
    <row r="5" spans="1:31" ht="15.75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</row>
    <row r="6" spans="32:34" ht="15.75" customHeight="1" thickBot="1">
      <c r="AF6" s="566" t="s">
        <v>562</v>
      </c>
      <c r="AG6" s="566"/>
      <c r="AH6" s="566"/>
    </row>
    <row r="7" spans="1:42" ht="31.5" customHeight="1">
      <c r="A7" s="595" t="s">
        <v>171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7"/>
      <c r="T7" s="600" t="s">
        <v>184</v>
      </c>
      <c r="U7" s="601"/>
      <c r="V7" s="598" t="s">
        <v>563</v>
      </c>
      <c r="W7" s="568"/>
      <c r="X7" s="568"/>
      <c r="Y7" s="568"/>
      <c r="Z7" s="569"/>
      <c r="AA7" s="604"/>
      <c r="AB7" s="605"/>
      <c r="AC7" s="605"/>
      <c r="AD7" s="605"/>
      <c r="AE7" s="606"/>
      <c r="AF7" s="567" t="s">
        <v>564</v>
      </c>
      <c r="AG7" s="568"/>
      <c r="AH7" s="568"/>
      <c r="AI7" s="568"/>
      <c r="AJ7" s="569"/>
      <c r="AK7" s="568"/>
      <c r="AL7" s="568"/>
      <c r="AM7" s="569"/>
      <c r="AN7" s="568"/>
      <c r="AO7" s="568"/>
      <c r="AP7" s="569"/>
    </row>
    <row r="8" spans="1:42" ht="12.75">
      <c r="A8" s="2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602"/>
      <c r="U8" s="603"/>
      <c r="V8" s="599"/>
      <c r="W8" s="571"/>
      <c r="X8" s="571"/>
      <c r="Y8" s="571"/>
      <c r="Z8" s="572"/>
      <c r="AA8" s="607"/>
      <c r="AB8" s="608"/>
      <c r="AC8" s="608"/>
      <c r="AD8" s="608"/>
      <c r="AE8" s="609"/>
      <c r="AF8" s="570"/>
      <c r="AG8" s="571"/>
      <c r="AH8" s="571"/>
      <c r="AI8" s="571"/>
      <c r="AJ8" s="572"/>
      <c r="AK8" s="571"/>
      <c r="AL8" s="571"/>
      <c r="AM8" s="572"/>
      <c r="AN8" s="571"/>
      <c r="AO8" s="571"/>
      <c r="AP8" s="572"/>
    </row>
    <row r="9" spans="1:42" ht="19.5" customHeight="1">
      <c r="A9" s="582" t="s">
        <v>246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4"/>
      <c r="T9" s="579">
        <v>1</v>
      </c>
      <c r="U9" s="580"/>
      <c r="V9" s="593">
        <v>938000</v>
      </c>
      <c r="W9" s="561"/>
      <c r="X9" s="561"/>
      <c r="Y9" s="561"/>
      <c r="Z9" s="562"/>
      <c r="AA9" s="395" t="s">
        <v>481</v>
      </c>
      <c r="AB9" s="396"/>
      <c r="AC9" s="396"/>
      <c r="AD9" s="396"/>
      <c r="AE9" s="397"/>
      <c r="AF9" s="560">
        <v>738000</v>
      </c>
      <c r="AG9" s="561"/>
      <c r="AH9" s="561"/>
      <c r="AI9" s="561"/>
      <c r="AJ9" s="562"/>
      <c r="AK9" s="561"/>
      <c r="AL9" s="561"/>
      <c r="AM9" s="562"/>
      <c r="AN9" s="561"/>
      <c r="AO9" s="561"/>
      <c r="AP9" s="562"/>
    </row>
    <row r="10" spans="1:42" ht="19.5" customHeight="1">
      <c r="A10" s="582" t="s">
        <v>247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4"/>
      <c r="T10" s="579">
        <v>2</v>
      </c>
      <c r="U10" s="580"/>
      <c r="V10" s="593">
        <v>559000</v>
      </c>
      <c r="W10" s="561"/>
      <c r="X10" s="561"/>
      <c r="Y10" s="561"/>
      <c r="Z10" s="562"/>
      <c r="AA10" s="395" t="s">
        <v>481</v>
      </c>
      <c r="AB10" s="396"/>
      <c r="AC10" s="396"/>
      <c r="AD10" s="396"/>
      <c r="AE10" s="397"/>
      <c r="AF10" s="560">
        <v>229000</v>
      </c>
      <c r="AG10" s="561"/>
      <c r="AH10" s="561"/>
      <c r="AI10" s="561"/>
      <c r="AJ10" s="562"/>
      <c r="AK10" s="561"/>
      <c r="AL10" s="561"/>
      <c r="AM10" s="562"/>
      <c r="AN10" s="561"/>
      <c r="AO10" s="561"/>
      <c r="AP10" s="562"/>
    </row>
    <row r="11" spans="1:42" ht="19.5" customHeight="1">
      <c r="A11" s="582" t="s">
        <v>248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4"/>
      <c r="T11" s="579">
        <v>3</v>
      </c>
      <c r="U11" s="580"/>
      <c r="V11" s="593">
        <v>400000</v>
      </c>
      <c r="W11" s="561"/>
      <c r="X11" s="561"/>
      <c r="Y11" s="561"/>
      <c r="Z11" s="562"/>
      <c r="AA11" s="395" t="s">
        <v>481</v>
      </c>
      <c r="AB11" s="396"/>
      <c r="AC11" s="396"/>
      <c r="AD11" s="396"/>
      <c r="AE11" s="397"/>
      <c r="AF11" s="560">
        <v>560000</v>
      </c>
      <c r="AG11" s="561"/>
      <c r="AH11" s="561"/>
      <c r="AI11" s="561"/>
      <c r="AJ11" s="562"/>
      <c r="AK11" s="561"/>
      <c r="AL11" s="561"/>
      <c r="AM11" s="562"/>
      <c r="AN11" s="561"/>
      <c r="AO11" s="561"/>
      <c r="AP11" s="562"/>
    </row>
    <row r="12" spans="1:42" ht="19.5" customHeight="1">
      <c r="A12" s="585" t="s">
        <v>480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7"/>
      <c r="T12" s="579">
        <v>4</v>
      </c>
      <c r="U12" s="580"/>
      <c r="V12" s="593"/>
      <c r="W12" s="561"/>
      <c r="X12" s="561"/>
      <c r="Y12" s="561"/>
      <c r="Z12" s="562"/>
      <c r="AA12" s="593"/>
      <c r="AB12" s="561"/>
      <c r="AC12" s="561"/>
      <c r="AD12" s="561"/>
      <c r="AE12" s="562"/>
      <c r="AF12" s="560"/>
      <c r="AG12" s="561"/>
      <c r="AH12" s="561"/>
      <c r="AI12" s="561"/>
      <c r="AJ12" s="562"/>
      <c r="AK12" s="561"/>
      <c r="AL12" s="561"/>
      <c r="AM12" s="562"/>
      <c r="AN12" s="561"/>
      <c r="AO12" s="561"/>
      <c r="AP12" s="562"/>
    </row>
    <row r="13" spans="1:42" ht="25.5" customHeight="1">
      <c r="A13" s="588" t="s">
        <v>249</v>
      </c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90"/>
      <c r="T13" s="579">
        <v>5</v>
      </c>
      <c r="U13" s="580"/>
      <c r="V13" s="581">
        <f>SUM(V9:Z12)</f>
        <v>1897000</v>
      </c>
      <c r="W13" s="555"/>
      <c r="X13" s="555"/>
      <c r="Y13" s="555"/>
      <c r="Z13" s="556"/>
      <c r="AA13" s="581">
        <f>SUM(AA9:AE12)</f>
        <v>0</v>
      </c>
      <c r="AB13" s="555"/>
      <c r="AC13" s="555"/>
      <c r="AD13" s="555"/>
      <c r="AE13" s="556"/>
      <c r="AF13" s="554">
        <f>SUM(AF9:AJ12)</f>
        <v>1527000</v>
      </c>
      <c r="AG13" s="555"/>
      <c r="AH13" s="555"/>
      <c r="AI13" s="555"/>
      <c r="AJ13" s="556"/>
      <c r="AK13" s="555"/>
      <c r="AL13" s="555"/>
      <c r="AM13" s="556"/>
      <c r="AN13" s="555"/>
      <c r="AO13" s="555"/>
      <c r="AP13" s="556"/>
    </row>
    <row r="14" spans="1:42" ht="19.5" customHeight="1">
      <c r="A14" s="582" t="s">
        <v>251</v>
      </c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4"/>
      <c r="T14" s="579">
        <v>6</v>
      </c>
      <c r="U14" s="580"/>
      <c r="V14" s="593">
        <v>349000</v>
      </c>
      <c r="W14" s="561"/>
      <c r="X14" s="561"/>
      <c r="Y14" s="561"/>
      <c r="Z14" s="562"/>
      <c r="AA14" s="395" t="s">
        <v>481</v>
      </c>
      <c r="AB14" s="396"/>
      <c r="AC14" s="396"/>
      <c r="AD14" s="396"/>
      <c r="AE14" s="397"/>
      <c r="AF14" s="560">
        <v>257000</v>
      </c>
      <c r="AG14" s="561"/>
      <c r="AH14" s="561"/>
      <c r="AI14" s="561"/>
      <c r="AJ14" s="562"/>
      <c r="AK14" s="561"/>
      <c r="AL14" s="561"/>
      <c r="AM14" s="562"/>
      <c r="AN14" s="561"/>
      <c r="AO14" s="561"/>
      <c r="AP14" s="562"/>
    </row>
    <row r="15" spans="1:42" ht="19.5" customHeight="1">
      <c r="A15" s="582" t="s">
        <v>617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4"/>
      <c r="T15" s="579">
        <v>7</v>
      </c>
      <c r="U15" s="580"/>
      <c r="V15" s="592">
        <v>750000</v>
      </c>
      <c r="W15" s="564"/>
      <c r="X15" s="564"/>
      <c r="Y15" s="564"/>
      <c r="Z15" s="565"/>
      <c r="AA15" s="395" t="s">
        <v>481</v>
      </c>
      <c r="AB15" s="396"/>
      <c r="AC15" s="396"/>
      <c r="AD15" s="396"/>
      <c r="AE15" s="397"/>
      <c r="AF15" s="563">
        <v>1275000</v>
      </c>
      <c r="AG15" s="564"/>
      <c r="AH15" s="564"/>
      <c r="AI15" s="564"/>
      <c r="AJ15" s="565"/>
      <c r="AK15" s="564"/>
      <c r="AL15" s="564"/>
      <c r="AM15" s="565"/>
      <c r="AN15" s="564"/>
      <c r="AO15" s="564"/>
      <c r="AP15" s="565"/>
    </row>
    <row r="16" spans="1:42" ht="26.25" customHeight="1">
      <c r="A16" s="582" t="s">
        <v>618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4"/>
      <c r="T16" s="579">
        <v>8</v>
      </c>
      <c r="U16" s="580"/>
      <c r="V16" s="592">
        <v>600000</v>
      </c>
      <c r="W16" s="564"/>
      <c r="X16" s="564"/>
      <c r="Y16" s="564"/>
      <c r="Z16" s="565"/>
      <c r="AA16" s="395" t="s">
        <v>481</v>
      </c>
      <c r="AB16" s="396"/>
      <c r="AC16" s="396"/>
      <c r="AD16" s="396"/>
      <c r="AE16" s="397"/>
      <c r="AF16" s="563">
        <v>780000</v>
      </c>
      <c r="AG16" s="564"/>
      <c r="AH16" s="564"/>
      <c r="AI16" s="564"/>
      <c r="AJ16" s="565"/>
      <c r="AK16" s="564"/>
      <c r="AL16" s="564"/>
      <c r="AM16" s="565"/>
      <c r="AN16" s="564"/>
      <c r="AO16" s="564"/>
      <c r="AP16" s="565"/>
    </row>
    <row r="17" spans="1:42" ht="20.25" customHeight="1">
      <c r="A17" s="610" t="s">
        <v>250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2"/>
      <c r="T17" s="579">
        <v>10</v>
      </c>
      <c r="U17" s="580"/>
      <c r="V17" s="581">
        <f>V14+V15+V16</f>
        <v>1699000</v>
      </c>
      <c r="W17" s="555"/>
      <c r="X17" s="555"/>
      <c r="Y17" s="555"/>
      <c r="Z17" s="556"/>
      <c r="AA17" s="581"/>
      <c r="AB17" s="555"/>
      <c r="AC17" s="555"/>
      <c r="AD17" s="555"/>
      <c r="AE17" s="556"/>
      <c r="AF17" s="554">
        <f>AF14+AF15+AF16</f>
        <v>2312000</v>
      </c>
      <c r="AG17" s="555"/>
      <c r="AH17" s="555"/>
      <c r="AI17" s="555"/>
      <c r="AJ17" s="556"/>
      <c r="AK17" s="555"/>
      <c r="AL17" s="555"/>
      <c r="AM17" s="556"/>
      <c r="AN17" s="555"/>
      <c r="AO17" s="555"/>
      <c r="AP17" s="556"/>
    </row>
    <row r="18" spans="1:42" ht="21.75" customHeight="1">
      <c r="A18" s="610" t="s">
        <v>252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2"/>
      <c r="T18" s="579">
        <v>11</v>
      </c>
      <c r="U18" s="580"/>
      <c r="V18" s="581">
        <f>V13+V17</f>
        <v>3596000</v>
      </c>
      <c r="W18" s="555"/>
      <c r="X18" s="555"/>
      <c r="Y18" s="555"/>
      <c r="Z18" s="556"/>
      <c r="AA18" s="581">
        <f>AA13+AA17</f>
        <v>0</v>
      </c>
      <c r="AB18" s="555"/>
      <c r="AC18" s="555"/>
      <c r="AD18" s="555"/>
      <c r="AE18" s="556"/>
      <c r="AF18" s="554">
        <f>AF13+AF17</f>
        <v>3839000</v>
      </c>
      <c r="AG18" s="555"/>
      <c r="AH18" s="555"/>
      <c r="AI18" s="555"/>
      <c r="AJ18" s="556"/>
      <c r="AK18" s="555"/>
      <c r="AL18" s="555"/>
      <c r="AM18" s="556"/>
      <c r="AN18" s="555"/>
      <c r="AO18" s="555"/>
      <c r="AP18" s="556"/>
    </row>
    <row r="19" spans="1:42" ht="21.75" customHeight="1" thickBot="1">
      <c r="A19" s="573" t="s">
        <v>254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5"/>
      <c r="T19" s="576">
        <v>14</v>
      </c>
      <c r="U19" s="577"/>
      <c r="V19" s="578"/>
      <c r="W19" s="558"/>
      <c r="X19" s="558"/>
      <c r="Y19" s="558"/>
      <c r="Z19" s="559"/>
      <c r="AA19" s="578"/>
      <c r="AB19" s="558"/>
      <c r="AC19" s="558"/>
      <c r="AD19" s="558"/>
      <c r="AE19" s="559"/>
      <c r="AF19" s="557"/>
      <c r="AG19" s="558"/>
      <c r="AH19" s="558"/>
      <c r="AI19" s="558"/>
      <c r="AJ19" s="559"/>
      <c r="AK19" s="558"/>
      <c r="AL19" s="558"/>
      <c r="AM19" s="559"/>
      <c r="AN19" s="558"/>
      <c r="AO19" s="558"/>
      <c r="AP19" s="559"/>
    </row>
    <row r="20" ht="21.75" customHeight="1">
      <c r="I20" s="207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75" spans="1:4" ht="12.75">
      <c r="A75" s="24"/>
      <c r="B75" s="24"/>
      <c r="C75" s="24"/>
      <c r="D75" s="2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  <row r="84" spans="1:4" ht="12.75">
      <c r="A84" s="24"/>
      <c r="B84" s="24"/>
      <c r="C84" s="24"/>
      <c r="D84" s="24"/>
    </row>
    <row r="85" spans="1:4" ht="12.75">
      <c r="A85" s="24"/>
      <c r="B85" s="24"/>
      <c r="C85" s="24"/>
      <c r="D85" s="24"/>
    </row>
    <row r="86" spans="1:4" ht="12.75">
      <c r="A86" s="24"/>
      <c r="B86" s="24"/>
      <c r="C86" s="24"/>
      <c r="D86" s="24"/>
    </row>
    <row r="87" spans="1:4" ht="12.75">
      <c r="A87" s="24"/>
      <c r="B87" s="24"/>
      <c r="C87" s="24"/>
      <c r="D87" s="24"/>
    </row>
    <row r="88" spans="1:4" ht="12.75">
      <c r="A88" s="24"/>
      <c r="B88" s="24"/>
      <c r="C88" s="24"/>
      <c r="D88" s="24"/>
    </row>
    <row r="89" spans="1:4" ht="12.75">
      <c r="A89" s="24"/>
      <c r="B89" s="24"/>
      <c r="C89" s="24"/>
      <c r="D89" s="24"/>
    </row>
    <row r="90" spans="1:4" ht="12.75">
      <c r="A90" s="24"/>
      <c r="B90" s="24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/>
      <c r="B93" s="24"/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24"/>
      <c r="B95" s="24"/>
      <c r="C95" s="24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24"/>
      <c r="B100" s="24"/>
      <c r="C100" s="24"/>
      <c r="D100" s="24"/>
    </row>
    <row r="101" spans="1:4" ht="12.75">
      <c r="A101" s="24"/>
      <c r="B101" s="24"/>
      <c r="C101" s="24"/>
      <c r="D101" s="24"/>
    </row>
    <row r="102" spans="1:4" ht="12.75">
      <c r="A102" s="24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1" spans="1:4" ht="12.75">
      <c r="A111" s="24"/>
      <c r="B111" s="24"/>
      <c r="C111" s="24"/>
      <c r="D111" s="24"/>
    </row>
    <row r="112" spans="1:4" ht="12.75">
      <c r="A112" s="24"/>
      <c r="B112" s="24"/>
      <c r="C112" s="24"/>
      <c r="D112" s="24"/>
    </row>
    <row r="113" spans="1:4" ht="12.75">
      <c r="A113" s="24"/>
      <c r="B113" s="24"/>
      <c r="C113" s="24"/>
      <c r="D113" s="24"/>
    </row>
    <row r="114" spans="1:4" ht="12.75">
      <c r="A114" s="24"/>
      <c r="B114" s="24"/>
      <c r="C114" s="24"/>
      <c r="D114" s="24"/>
    </row>
    <row r="115" spans="1:4" ht="12.75">
      <c r="A115" s="24"/>
      <c r="B115" s="24"/>
      <c r="C115" s="24"/>
      <c r="D115" s="24"/>
    </row>
    <row r="116" spans="1:4" ht="12.75">
      <c r="A116" s="24"/>
      <c r="B116" s="24"/>
      <c r="C116" s="24"/>
      <c r="D116" s="24"/>
    </row>
    <row r="117" spans="1:4" ht="12.75">
      <c r="A117" s="24"/>
      <c r="B117" s="24"/>
      <c r="C117" s="24"/>
      <c r="D117" s="24"/>
    </row>
    <row r="118" spans="1:4" ht="12.75">
      <c r="A118" s="24"/>
      <c r="B118" s="24"/>
      <c r="C118" s="24"/>
      <c r="D118" s="24"/>
    </row>
    <row r="119" spans="1:4" ht="12.75">
      <c r="A119" s="24"/>
      <c r="B119" s="24"/>
      <c r="C119" s="24"/>
      <c r="D119" s="24"/>
    </row>
    <row r="120" spans="1:4" ht="12.75">
      <c r="A120" s="24"/>
      <c r="B120" s="24"/>
      <c r="C120" s="24"/>
      <c r="D120" s="24"/>
    </row>
    <row r="121" spans="1:4" ht="12.75">
      <c r="A121" s="24"/>
      <c r="B121" s="24"/>
      <c r="C121" s="24"/>
      <c r="D121" s="24"/>
    </row>
    <row r="122" spans="1:4" ht="12.75">
      <c r="A122" s="24"/>
      <c r="B122" s="24"/>
      <c r="C122" s="24"/>
      <c r="D122" s="24"/>
    </row>
    <row r="123" spans="1:4" ht="12.75">
      <c r="A123" s="24"/>
      <c r="B123" s="24"/>
      <c r="C123" s="24"/>
      <c r="D123" s="24"/>
    </row>
    <row r="124" spans="1:4" ht="12.75">
      <c r="A124" s="24"/>
      <c r="B124" s="24"/>
      <c r="C124" s="24"/>
      <c r="D124" s="24"/>
    </row>
    <row r="125" spans="1:4" ht="12.75">
      <c r="A125" s="24"/>
      <c r="B125" s="24"/>
      <c r="C125" s="24"/>
      <c r="D125" s="24"/>
    </row>
    <row r="126" spans="1:4" ht="12.75">
      <c r="A126" s="24"/>
      <c r="B126" s="24"/>
      <c r="C126" s="24"/>
      <c r="D126" s="24"/>
    </row>
    <row r="127" spans="1:4" ht="12.75">
      <c r="A127" s="24"/>
      <c r="B127" s="24"/>
      <c r="C127" s="24"/>
      <c r="D127" s="24"/>
    </row>
    <row r="128" spans="1:4" ht="12.75">
      <c r="A128" s="24"/>
      <c r="B128" s="24"/>
      <c r="C128" s="24"/>
      <c r="D128" s="24"/>
    </row>
    <row r="129" spans="1:4" ht="12.75">
      <c r="A129" s="24"/>
      <c r="B129" s="24"/>
      <c r="C129" s="24"/>
      <c r="D129" s="24"/>
    </row>
    <row r="130" spans="1:4" ht="12.75">
      <c r="A130" s="24"/>
      <c r="B130" s="24"/>
      <c r="C130" s="24"/>
      <c r="D130" s="24"/>
    </row>
    <row r="131" spans="1:4" ht="12.75">
      <c r="A131" s="24"/>
      <c r="B131" s="24"/>
      <c r="C131" s="24"/>
      <c r="D131" s="24"/>
    </row>
    <row r="132" spans="1:4" ht="12.75">
      <c r="A132" s="24"/>
      <c r="B132" s="24"/>
      <c r="C132" s="24"/>
      <c r="D132" s="24"/>
    </row>
    <row r="133" spans="1:4" ht="12.75">
      <c r="A133" s="24"/>
      <c r="B133" s="24"/>
      <c r="C133" s="24"/>
      <c r="D133" s="24"/>
    </row>
    <row r="134" spans="1:4" ht="12.75">
      <c r="A134" s="24"/>
      <c r="B134" s="24"/>
      <c r="C134" s="24"/>
      <c r="D134" s="24"/>
    </row>
    <row r="135" spans="1:4" ht="12.75">
      <c r="A135" s="24"/>
      <c r="B135" s="24"/>
      <c r="C135" s="24"/>
      <c r="D135" s="24"/>
    </row>
    <row r="136" spans="1:4" ht="12.75">
      <c r="A136" s="24"/>
      <c r="B136" s="24"/>
      <c r="C136" s="24"/>
      <c r="D136" s="24"/>
    </row>
    <row r="137" spans="1:4" ht="12.75">
      <c r="A137" s="24"/>
      <c r="B137" s="24"/>
      <c r="C137" s="24"/>
      <c r="D137" s="24"/>
    </row>
    <row r="138" spans="1:4" ht="12.75">
      <c r="A138" s="24"/>
      <c r="B138" s="24"/>
      <c r="C138" s="24"/>
      <c r="D138" s="24"/>
    </row>
    <row r="139" spans="1:4" ht="12.75">
      <c r="A139" s="24"/>
      <c r="B139" s="24"/>
      <c r="C139" s="24"/>
      <c r="D139" s="24"/>
    </row>
    <row r="140" spans="1:4" ht="12.75">
      <c r="A140" s="24"/>
      <c r="B140" s="24"/>
      <c r="C140" s="24"/>
      <c r="D140" s="24"/>
    </row>
    <row r="141" spans="1:4" ht="12.75">
      <c r="A141" s="24"/>
      <c r="B141" s="24"/>
      <c r="C141" s="24"/>
      <c r="D141" s="24"/>
    </row>
    <row r="142" spans="1:4" ht="12.75">
      <c r="A142" s="24"/>
      <c r="B142" s="24"/>
      <c r="C142" s="24"/>
      <c r="D142" s="24"/>
    </row>
    <row r="143" spans="1:4" ht="12.75">
      <c r="A143" s="24"/>
      <c r="B143" s="24"/>
      <c r="C143" s="24"/>
      <c r="D143" s="24"/>
    </row>
    <row r="144" spans="1:4" ht="12.75">
      <c r="A144" s="24"/>
      <c r="B144" s="24"/>
      <c r="C144" s="24"/>
      <c r="D144" s="24"/>
    </row>
    <row r="145" spans="1:4" ht="12.75">
      <c r="A145" s="24"/>
      <c r="B145" s="24"/>
      <c r="C145" s="24"/>
      <c r="D145" s="24"/>
    </row>
    <row r="146" spans="1:4" ht="12.75">
      <c r="A146" s="24"/>
      <c r="B146" s="24"/>
      <c r="C146" s="24"/>
      <c r="D146" s="24"/>
    </row>
    <row r="147" spans="1:4" ht="12.75">
      <c r="A147" s="24"/>
      <c r="B147" s="24"/>
      <c r="C147" s="24"/>
      <c r="D147" s="24"/>
    </row>
    <row r="148" spans="1:4" ht="12.75">
      <c r="A148" s="24"/>
      <c r="B148" s="24"/>
      <c r="C148" s="24"/>
      <c r="D148" s="24"/>
    </row>
    <row r="149" spans="1:4" ht="12.75">
      <c r="A149" s="24"/>
      <c r="B149" s="24"/>
      <c r="C149" s="24"/>
      <c r="D149" s="24"/>
    </row>
    <row r="150" spans="1:4" ht="12.75">
      <c r="A150" s="24"/>
      <c r="B150" s="24"/>
      <c r="C150" s="24"/>
      <c r="D150" s="24"/>
    </row>
    <row r="151" spans="1:4" ht="12.75">
      <c r="A151" s="24"/>
      <c r="B151" s="24"/>
      <c r="C151" s="24"/>
      <c r="D151" s="24"/>
    </row>
    <row r="152" spans="1:4" ht="12.75">
      <c r="A152" s="24"/>
      <c r="B152" s="24"/>
      <c r="C152" s="24"/>
      <c r="D152" s="24"/>
    </row>
    <row r="153" spans="1:4" ht="12.75">
      <c r="A153" s="24"/>
      <c r="B153" s="24"/>
      <c r="C153" s="24"/>
      <c r="D153" s="24"/>
    </row>
    <row r="154" spans="1:4" ht="12.75">
      <c r="A154" s="24"/>
      <c r="B154" s="24"/>
      <c r="C154" s="24"/>
      <c r="D154" s="24"/>
    </row>
    <row r="155" spans="1:4" ht="12.75">
      <c r="A155" s="24"/>
      <c r="B155" s="24"/>
      <c r="C155" s="24"/>
      <c r="D155" s="24"/>
    </row>
    <row r="156" spans="1:4" ht="12.75">
      <c r="A156" s="24"/>
      <c r="B156" s="24"/>
      <c r="C156" s="24"/>
      <c r="D156" s="24"/>
    </row>
    <row r="157" spans="1:4" ht="12.75">
      <c r="A157" s="24"/>
      <c r="B157" s="24"/>
      <c r="C157" s="24"/>
      <c r="D157" s="24"/>
    </row>
  </sheetData>
  <sheetProtection/>
  <mergeCells count="82">
    <mergeCell ref="AK18:AM18"/>
    <mergeCell ref="AN18:AP18"/>
    <mergeCell ref="AK19:AM19"/>
    <mergeCell ref="AN19:AP19"/>
    <mergeCell ref="AK15:AM15"/>
    <mergeCell ref="AN15:AP15"/>
    <mergeCell ref="AK16:AM16"/>
    <mergeCell ref="AN16:AP16"/>
    <mergeCell ref="AK17:AM17"/>
    <mergeCell ref="AN17:AP17"/>
    <mergeCell ref="AN11:AP11"/>
    <mergeCell ref="AK12:AM12"/>
    <mergeCell ref="AN12:AP12"/>
    <mergeCell ref="AK13:AM13"/>
    <mergeCell ref="AN13:AP13"/>
    <mergeCell ref="AK14:AM14"/>
    <mergeCell ref="AN14:AP14"/>
    <mergeCell ref="A11:S11"/>
    <mergeCell ref="T11:U11"/>
    <mergeCell ref="V17:Z17"/>
    <mergeCell ref="AK7:AM8"/>
    <mergeCell ref="AN7:AP8"/>
    <mergeCell ref="AK9:AM9"/>
    <mergeCell ref="AN9:AP9"/>
    <mergeCell ref="AK10:AM10"/>
    <mergeCell ref="AN10:AP10"/>
    <mergeCell ref="AK11:AM11"/>
    <mergeCell ref="A2:AE2"/>
    <mergeCell ref="A9:S9"/>
    <mergeCell ref="AA7:AE8"/>
    <mergeCell ref="AA18:AE18"/>
    <mergeCell ref="V16:Z16"/>
    <mergeCell ref="AA17:AE17"/>
    <mergeCell ref="A17:S17"/>
    <mergeCell ref="T16:U16"/>
    <mergeCell ref="T17:U17"/>
    <mergeCell ref="A18:S18"/>
    <mergeCell ref="A7:S7"/>
    <mergeCell ref="A10:S10"/>
    <mergeCell ref="V7:Z8"/>
    <mergeCell ref="T7:U8"/>
    <mergeCell ref="T10:U10"/>
    <mergeCell ref="V10:Z10"/>
    <mergeCell ref="T9:U9"/>
    <mergeCell ref="V9:Z9"/>
    <mergeCell ref="A1:AE1"/>
    <mergeCell ref="V15:Z15"/>
    <mergeCell ref="A16:S16"/>
    <mergeCell ref="V11:Z11"/>
    <mergeCell ref="V12:Z12"/>
    <mergeCell ref="AA12:AE12"/>
    <mergeCell ref="V13:Z13"/>
    <mergeCell ref="AA13:AE13"/>
    <mergeCell ref="V14:Z14"/>
    <mergeCell ref="A4:AE4"/>
    <mergeCell ref="V18:Z18"/>
    <mergeCell ref="A15:S15"/>
    <mergeCell ref="T14:U14"/>
    <mergeCell ref="T12:U12"/>
    <mergeCell ref="T13:U13"/>
    <mergeCell ref="A14:S14"/>
    <mergeCell ref="A12:S12"/>
    <mergeCell ref="A13:S13"/>
    <mergeCell ref="T18:U18"/>
    <mergeCell ref="AF6:AH6"/>
    <mergeCell ref="AF7:AJ8"/>
    <mergeCell ref="AF9:AJ9"/>
    <mergeCell ref="AF10:AJ10"/>
    <mergeCell ref="AF11:AJ11"/>
    <mergeCell ref="A19:S19"/>
    <mergeCell ref="T19:U19"/>
    <mergeCell ref="V19:Z19"/>
    <mergeCell ref="AA19:AE19"/>
    <mergeCell ref="T15:U15"/>
    <mergeCell ref="AF17:AJ17"/>
    <mergeCell ref="AF18:AJ18"/>
    <mergeCell ref="AF19:AJ19"/>
    <mergeCell ref="AF12:AJ12"/>
    <mergeCell ref="AF13:AJ13"/>
    <mergeCell ref="AF14:AJ14"/>
    <mergeCell ref="AF15:AJ15"/>
    <mergeCell ref="AF16:AJ16"/>
  </mergeCells>
  <printOptions horizontalCentered="1"/>
  <pageMargins left="0.15748031496062992" right="0.1968503937007874" top="0.2755905511811024" bottom="0.35433070866141736" header="0.1968503937007874" footer="0.31496062992125984"/>
  <pageSetup fitToHeight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7"/>
  <sheetViews>
    <sheetView showGridLines="0" zoomScaleSheetLayoutView="100" zoomScalePageLayoutView="0" workbookViewId="0" topLeftCell="A28">
      <selection activeCell="K34" sqref="K34"/>
    </sheetView>
  </sheetViews>
  <sheetFormatPr defaultColWidth="9.00390625" defaultRowHeight="12.75"/>
  <cols>
    <col min="1" max="1" width="14.375" style="21" customWidth="1"/>
    <col min="2" max="2" width="14.125" style="21" customWidth="1"/>
    <col min="3" max="3" width="10.375" style="21" customWidth="1"/>
    <col min="4" max="4" width="12.25390625" style="21" customWidth="1"/>
    <col min="5" max="6" width="3.25390625" style="21" customWidth="1"/>
    <col min="7" max="7" width="13.875" style="93" bestFit="1" customWidth="1"/>
    <col min="8" max="8" width="9.125" style="21" customWidth="1"/>
    <col min="9" max="9" width="16.25390625" style="21" customWidth="1"/>
    <col min="10" max="16384" width="9.125" style="21" customWidth="1"/>
  </cols>
  <sheetData>
    <row r="1" spans="1:6" ht="22.5" customHeight="1">
      <c r="A1" s="591"/>
      <c r="B1" s="591"/>
      <c r="C1" s="591"/>
      <c r="D1" s="591"/>
      <c r="E1" s="591"/>
      <c r="F1" s="591"/>
    </row>
    <row r="2" spans="1:6" ht="12.75">
      <c r="A2" s="591"/>
      <c r="B2" s="591"/>
      <c r="C2" s="591"/>
      <c r="D2" s="591"/>
      <c r="E2" s="591"/>
      <c r="F2" s="591"/>
    </row>
    <row r="3" spans="1:6" ht="15.75">
      <c r="A3" s="591" t="s">
        <v>619</v>
      </c>
      <c r="B3" s="591"/>
      <c r="C3" s="591"/>
      <c r="D3" s="591"/>
      <c r="E3" s="591"/>
      <c r="F3" s="591"/>
    </row>
    <row r="4" spans="1:6" ht="15.75">
      <c r="A4" s="591"/>
      <c r="B4" s="591"/>
      <c r="C4" s="591"/>
      <c r="D4" s="591"/>
      <c r="E4" s="591"/>
      <c r="F4" s="591"/>
    </row>
    <row r="5" spans="1:6" ht="15.75">
      <c r="A5" s="591" t="s">
        <v>220</v>
      </c>
      <c r="B5" s="591"/>
      <c r="C5" s="591"/>
      <c r="D5" s="591"/>
      <c r="E5" s="591"/>
      <c r="F5" s="591"/>
    </row>
    <row r="6" spans="1:6" ht="15.75">
      <c r="A6" s="594" t="s">
        <v>191</v>
      </c>
      <c r="B6" s="594"/>
      <c r="C6" s="594"/>
      <c r="D6" s="594"/>
      <c r="E6" s="594"/>
      <c r="F6" s="594"/>
    </row>
    <row r="7" spans="1:9" ht="31.5" customHeight="1">
      <c r="A7" s="398"/>
      <c r="B7" s="398"/>
      <c r="C7" s="398"/>
      <c r="D7" s="398"/>
      <c r="E7" s="398"/>
      <c r="F7" s="398"/>
      <c r="I7" s="21" t="s">
        <v>470</v>
      </c>
    </row>
    <row r="9" spans="1:9" ht="19.5" customHeight="1">
      <c r="A9" s="616" t="s">
        <v>171</v>
      </c>
      <c r="B9" s="617"/>
      <c r="C9" s="617"/>
      <c r="D9" s="617"/>
      <c r="E9" s="617"/>
      <c r="F9" s="618"/>
      <c r="G9" s="622" t="s">
        <v>559</v>
      </c>
      <c r="H9" s="624"/>
      <c r="I9" s="622" t="s">
        <v>560</v>
      </c>
    </row>
    <row r="10" spans="1:9" ht="19.5" customHeight="1">
      <c r="A10" s="344"/>
      <c r="B10" s="345"/>
      <c r="C10" s="345"/>
      <c r="D10" s="345"/>
      <c r="E10" s="345"/>
      <c r="F10" s="345"/>
      <c r="G10" s="623"/>
      <c r="H10" s="625"/>
      <c r="I10" s="623"/>
    </row>
    <row r="11" spans="1:9" ht="54.75" customHeight="1">
      <c r="A11" s="626" t="s">
        <v>23</v>
      </c>
      <c r="B11" s="627"/>
      <c r="C11" s="627"/>
      <c r="D11" s="627"/>
      <c r="E11" s="627"/>
      <c r="F11" s="628"/>
      <c r="G11" s="213"/>
      <c r="H11" s="212"/>
      <c r="I11" s="213"/>
    </row>
    <row r="12" spans="1:9" s="240" customFormat="1" ht="19.5" customHeight="1">
      <c r="A12" s="613" t="s">
        <v>255</v>
      </c>
      <c r="B12" s="614"/>
      <c r="C12" s="614"/>
      <c r="D12" s="614"/>
      <c r="E12" s="614"/>
      <c r="F12" s="615"/>
      <c r="G12" s="238">
        <v>8350</v>
      </c>
      <c r="H12" s="239" t="s">
        <v>492</v>
      </c>
      <c r="I12" s="238">
        <v>0</v>
      </c>
    </row>
    <row r="13" spans="1:9" s="240" customFormat="1" ht="25.5" customHeight="1">
      <c r="A13" t="s">
        <v>256</v>
      </c>
      <c r="B13" s="208"/>
      <c r="C13" s="208"/>
      <c r="D13" s="208"/>
      <c r="E13" s="208"/>
      <c r="F13" s="208"/>
      <c r="G13" s="238">
        <v>16600</v>
      </c>
      <c r="H13" s="239" t="s">
        <v>492</v>
      </c>
      <c r="I13" s="238">
        <v>0</v>
      </c>
    </row>
    <row r="14" spans="1:9" s="240" customFormat="1" ht="19.5" customHeight="1">
      <c r="A14" s="613" t="s">
        <v>192</v>
      </c>
      <c r="B14" s="614"/>
      <c r="C14" s="614"/>
      <c r="D14" s="614"/>
      <c r="E14" s="614"/>
      <c r="F14" s="615"/>
      <c r="G14" s="238">
        <v>120000</v>
      </c>
      <c r="H14" s="239" t="s">
        <v>492</v>
      </c>
      <c r="I14" s="238">
        <v>120000</v>
      </c>
    </row>
    <row r="15" spans="1:9" s="240" customFormat="1" ht="19.5" customHeight="1">
      <c r="A15" s="613" t="s">
        <v>482</v>
      </c>
      <c r="B15" s="614"/>
      <c r="C15" s="614"/>
      <c r="D15" s="614"/>
      <c r="E15" s="614"/>
      <c r="F15" s="615"/>
      <c r="G15" s="238">
        <v>359386</v>
      </c>
      <c r="H15" s="239" t="s">
        <v>492</v>
      </c>
      <c r="I15" s="238">
        <v>302072</v>
      </c>
    </row>
    <row r="16" spans="1:9" s="240" customFormat="1" ht="19.5" customHeight="1">
      <c r="A16" s="613" t="s">
        <v>483</v>
      </c>
      <c r="B16" s="614"/>
      <c r="C16" s="614"/>
      <c r="D16" s="614"/>
      <c r="E16" s="614"/>
      <c r="F16" s="615"/>
      <c r="G16" s="238">
        <v>66800</v>
      </c>
      <c r="H16" s="239" t="s">
        <v>492</v>
      </c>
      <c r="I16" s="238">
        <v>67800</v>
      </c>
    </row>
    <row r="17" spans="1:9" s="240" customFormat="1" ht="26.25" customHeight="1">
      <c r="A17" s="613" t="s">
        <v>238</v>
      </c>
      <c r="B17" s="614"/>
      <c r="C17" s="614"/>
      <c r="D17" s="614"/>
      <c r="E17" s="614"/>
      <c r="F17" s="615"/>
      <c r="G17" s="238">
        <v>112301</v>
      </c>
      <c r="H17" s="239" t="s">
        <v>492</v>
      </c>
      <c r="I17" s="238">
        <v>112301</v>
      </c>
    </row>
    <row r="18" spans="1:9" s="240" customFormat="1" ht="26.25" customHeight="1">
      <c r="A18" s="613" t="s">
        <v>484</v>
      </c>
      <c r="B18" s="614"/>
      <c r="C18" s="614"/>
      <c r="D18" s="614"/>
      <c r="E18" s="614"/>
      <c r="F18" s="615"/>
      <c r="G18" s="238">
        <v>84004</v>
      </c>
      <c r="H18" s="239" t="s">
        <v>492</v>
      </c>
      <c r="I18" s="238">
        <v>84004</v>
      </c>
    </row>
    <row r="19" spans="1:9" s="240" customFormat="1" ht="26.25" customHeight="1">
      <c r="A19" s="613" t="s">
        <v>485</v>
      </c>
      <c r="B19" s="614"/>
      <c r="C19" s="614"/>
      <c r="D19" s="614"/>
      <c r="E19" s="614"/>
      <c r="F19" s="615"/>
      <c r="G19" s="238">
        <v>28567</v>
      </c>
      <c r="H19" s="239" t="s">
        <v>492</v>
      </c>
      <c r="I19" s="238">
        <v>16356</v>
      </c>
    </row>
    <row r="20" spans="1:9" s="240" customFormat="1" ht="26.25" customHeight="1">
      <c r="A20" s="613" t="s">
        <v>486</v>
      </c>
      <c r="B20" s="614"/>
      <c r="C20" s="614"/>
      <c r="D20" s="614"/>
      <c r="E20" s="614"/>
      <c r="F20" s="615"/>
      <c r="G20" s="238">
        <v>1000000</v>
      </c>
      <c r="H20" s="239" t="s">
        <v>492</v>
      </c>
      <c r="I20" s="238">
        <v>1000000</v>
      </c>
    </row>
    <row r="21" spans="1:9" s="240" customFormat="1" ht="26.25" customHeight="1">
      <c r="A21" s="629" t="s">
        <v>487</v>
      </c>
      <c r="B21" s="630"/>
      <c r="C21" s="630"/>
      <c r="D21" s="630"/>
      <c r="E21" s="630"/>
      <c r="F21" s="631"/>
      <c r="G21" s="238">
        <v>37500</v>
      </c>
      <c r="H21" s="239" t="s">
        <v>492</v>
      </c>
      <c r="I21" s="238">
        <v>37500</v>
      </c>
    </row>
    <row r="22" spans="1:9" s="240" customFormat="1" ht="26.25" customHeight="1">
      <c r="A22" s="629" t="s">
        <v>620</v>
      </c>
      <c r="B22" s="630"/>
      <c r="C22" s="630"/>
      <c r="D22" s="630"/>
      <c r="E22" s="630"/>
      <c r="F22" s="631"/>
      <c r="G22" s="238">
        <v>0</v>
      </c>
      <c r="H22" s="239" t="s">
        <v>492</v>
      </c>
      <c r="I22" s="238">
        <v>2512</v>
      </c>
    </row>
    <row r="23" spans="1:9" s="240" customFormat="1" ht="26.25" customHeight="1">
      <c r="A23" s="629" t="s">
        <v>621</v>
      </c>
      <c r="B23" s="630"/>
      <c r="C23" s="630"/>
      <c r="D23" s="630"/>
      <c r="E23" s="630"/>
      <c r="F23" s="631"/>
      <c r="G23" s="238"/>
      <c r="H23" s="239"/>
      <c r="I23" s="238"/>
    </row>
    <row r="24" spans="1:9" s="346" customFormat="1" ht="27" customHeight="1">
      <c r="A24" s="632" t="s">
        <v>24</v>
      </c>
      <c r="B24" s="611"/>
      <c r="C24" s="611"/>
      <c r="D24" s="611"/>
      <c r="E24" s="611"/>
      <c r="F24" s="612"/>
      <c r="G24" s="313">
        <f>SUM(G12:G22)</f>
        <v>1833508</v>
      </c>
      <c r="H24" s="313">
        <f>SUM(H12:H22)</f>
        <v>0</v>
      </c>
      <c r="I24" s="313">
        <f>SUM(I12:I22)</f>
        <v>1742545</v>
      </c>
    </row>
    <row r="25" spans="1:9" ht="20.25" customHeight="1">
      <c r="A25" s="637"/>
      <c r="B25" s="638"/>
      <c r="C25" s="638"/>
      <c r="D25" s="638"/>
      <c r="E25" s="638"/>
      <c r="F25" s="639"/>
      <c r="G25" s="215"/>
      <c r="H25" s="216"/>
      <c r="I25" s="215"/>
    </row>
    <row r="26" spans="1:9" ht="21.75" customHeight="1">
      <c r="A26" s="619" t="s">
        <v>25</v>
      </c>
      <c r="B26" s="620"/>
      <c r="C26" s="620"/>
      <c r="D26" s="620"/>
      <c r="E26" s="620"/>
      <c r="F26" s="621"/>
      <c r="G26" s="214"/>
      <c r="H26" s="46"/>
      <c r="I26" s="214"/>
    </row>
    <row r="27" spans="1:9" ht="21.75" customHeight="1">
      <c r="A27" s="636" t="s">
        <v>229</v>
      </c>
      <c r="B27" s="583"/>
      <c r="C27" s="583"/>
      <c r="D27" s="583"/>
      <c r="E27" s="583"/>
      <c r="F27" s="584"/>
      <c r="G27" s="214">
        <v>100000</v>
      </c>
      <c r="H27" s="46" t="s">
        <v>493</v>
      </c>
      <c r="I27" s="214">
        <v>100000</v>
      </c>
    </row>
    <row r="28" spans="1:9" s="240" customFormat="1" ht="21.75" customHeight="1">
      <c r="A28" s="613" t="s">
        <v>488</v>
      </c>
      <c r="B28" s="614"/>
      <c r="C28" s="614"/>
      <c r="D28" s="614"/>
      <c r="E28" s="614"/>
      <c r="F28" s="615"/>
      <c r="G28" s="238">
        <v>100000</v>
      </c>
      <c r="H28" s="239" t="s">
        <v>493</v>
      </c>
      <c r="I28" s="238">
        <v>100000</v>
      </c>
    </row>
    <row r="29" spans="1:9" s="240" customFormat="1" ht="21.75" customHeight="1">
      <c r="A29" s="613" t="s">
        <v>489</v>
      </c>
      <c r="B29" s="614"/>
      <c r="C29" s="614"/>
      <c r="D29" s="614"/>
      <c r="E29" s="614"/>
      <c r="F29" s="615"/>
      <c r="G29" s="238">
        <v>20000</v>
      </c>
      <c r="H29" s="239" t="s">
        <v>493</v>
      </c>
      <c r="I29" s="238">
        <v>20000</v>
      </c>
    </row>
    <row r="30" spans="1:9" ht="21.75" customHeight="1">
      <c r="A30" s="640" t="s">
        <v>221</v>
      </c>
      <c r="B30" s="586"/>
      <c r="C30" s="586"/>
      <c r="D30" s="586"/>
      <c r="E30" s="586"/>
      <c r="F30" s="587"/>
      <c r="G30" s="214">
        <v>500000</v>
      </c>
      <c r="H30" s="46" t="s">
        <v>493</v>
      </c>
      <c r="I30" s="214">
        <v>500000</v>
      </c>
    </row>
    <row r="31" spans="1:9" ht="21.75" customHeight="1">
      <c r="A31" s="640" t="s">
        <v>239</v>
      </c>
      <c r="B31" s="586"/>
      <c r="C31" s="586"/>
      <c r="D31" s="586"/>
      <c r="E31" s="586"/>
      <c r="F31" s="587"/>
      <c r="G31" s="214">
        <v>15000</v>
      </c>
      <c r="H31" s="46" t="s">
        <v>493</v>
      </c>
      <c r="I31" s="214">
        <v>15000</v>
      </c>
    </row>
    <row r="32" spans="1:9" ht="21.75" customHeight="1">
      <c r="A32" s="636" t="s">
        <v>490</v>
      </c>
      <c r="B32" s="583"/>
      <c r="C32" s="583"/>
      <c r="D32" s="583"/>
      <c r="E32" s="583"/>
      <c r="F32" s="584"/>
      <c r="G32" s="214">
        <v>50000</v>
      </c>
      <c r="H32" s="46" t="s">
        <v>493</v>
      </c>
      <c r="I32" s="214">
        <v>50000</v>
      </c>
    </row>
    <row r="33" spans="1:9" ht="21.75" customHeight="1">
      <c r="A33" s="636" t="s">
        <v>336</v>
      </c>
      <c r="B33" s="583"/>
      <c r="C33" s="583"/>
      <c r="D33" s="583"/>
      <c r="E33" s="583"/>
      <c r="F33" s="584"/>
      <c r="G33" s="214">
        <v>50000</v>
      </c>
      <c r="H33" s="46" t="s">
        <v>493</v>
      </c>
      <c r="I33" s="214">
        <v>50000</v>
      </c>
    </row>
    <row r="34" spans="1:9" s="346" customFormat="1" ht="21.75" customHeight="1">
      <c r="A34" s="632" t="s">
        <v>26</v>
      </c>
      <c r="B34" s="611"/>
      <c r="C34" s="611"/>
      <c r="D34" s="611"/>
      <c r="E34" s="611"/>
      <c r="F34" s="612"/>
      <c r="G34" s="313">
        <f>SUM(G27:G33)</f>
        <v>835000</v>
      </c>
      <c r="H34" s="46"/>
      <c r="I34" s="313">
        <f>SUM(I27:I33)</f>
        <v>835000</v>
      </c>
    </row>
    <row r="35" spans="1:9" s="348" customFormat="1" ht="21.75" customHeight="1">
      <c r="A35" s="633" t="s">
        <v>491</v>
      </c>
      <c r="B35" s="634"/>
      <c r="C35" s="634"/>
      <c r="D35" s="634"/>
      <c r="E35" s="634"/>
      <c r="F35" s="635"/>
      <c r="G35" s="349">
        <f>G34+G24</f>
        <v>2668508</v>
      </c>
      <c r="H35" s="347"/>
      <c r="I35" s="349">
        <f>I34+I24</f>
        <v>2577545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24"/>
      <c r="B85" s="24"/>
      <c r="C85" s="24"/>
      <c r="D85" s="24"/>
    </row>
    <row r="86" spans="1:4" ht="21.75" customHeight="1">
      <c r="A86" s="24"/>
      <c r="B86" s="24"/>
      <c r="C86" s="24"/>
      <c r="D86" s="24"/>
    </row>
    <row r="87" spans="1:4" ht="21.75" customHeight="1">
      <c r="A87" s="24"/>
      <c r="B87" s="24"/>
      <c r="C87" s="24"/>
      <c r="D87" s="24"/>
    </row>
    <row r="88" spans="1:4" ht="21.75" customHeight="1">
      <c r="A88" s="24"/>
      <c r="B88" s="24"/>
      <c r="C88" s="24"/>
      <c r="D88" s="24"/>
    </row>
    <row r="89" spans="1:4" ht="21.75" customHeight="1">
      <c r="A89" s="24"/>
      <c r="B89" s="24"/>
      <c r="C89" s="24"/>
      <c r="D89" s="24"/>
    </row>
    <row r="90" spans="1:4" ht="21.75" customHeight="1">
      <c r="A90" s="24"/>
      <c r="B90" s="24"/>
      <c r="C90" s="24"/>
      <c r="D90" s="24"/>
    </row>
    <row r="91" spans="1:4" ht="21.75" customHeight="1">
      <c r="A91" s="24"/>
      <c r="B91" s="24"/>
      <c r="C91" s="24"/>
      <c r="D91" s="24"/>
    </row>
    <row r="92" spans="1:4" ht="21.75" customHeight="1">
      <c r="A92" s="24"/>
      <c r="B92" s="24"/>
      <c r="C92" s="24"/>
      <c r="D92" s="24"/>
    </row>
    <row r="93" spans="1:4" ht="21.75" customHeight="1">
      <c r="A93" s="24"/>
      <c r="B93" s="24"/>
      <c r="C93" s="24"/>
      <c r="D93" s="24"/>
    </row>
    <row r="94" spans="1:4" ht="21.75" customHeight="1">
      <c r="A94" s="24"/>
      <c r="B94" s="24"/>
      <c r="C94" s="24"/>
      <c r="D94" s="24"/>
    </row>
    <row r="95" spans="1:4" ht="21.75" customHeight="1">
      <c r="A95" s="24"/>
      <c r="B95" s="24"/>
      <c r="C95" s="24"/>
      <c r="D95" s="24"/>
    </row>
    <row r="96" spans="1:4" ht="21.75" customHeight="1">
      <c r="A96" s="24"/>
      <c r="B96" s="24"/>
      <c r="C96" s="24"/>
      <c r="D96" s="24"/>
    </row>
    <row r="97" spans="1:4" ht="21.75" customHeight="1">
      <c r="A97" s="24"/>
      <c r="B97" s="24"/>
      <c r="C97" s="24"/>
      <c r="D97" s="24"/>
    </row>
    <row r="98" spans="1:4" ht="21.75" customHeight="1">
      <c r="A98" s="24"/>
      <c r="B98" s="24"/>
      <c r="C98" s="24"/>
      <c r="D98" s="24"/>
    </row>
    <row r="99" spans="1:4" ht="21.75" customHeight="1">
      <c r="A99" s="24"/>
      <c r="B99" s="24"/>
      <c r="C99" s="24"/>
      <c r="D99" s="24"/>
    </row>
    <row r="100" spans="1:4" ht="21.75" customHeight="1">
      <c r="A100" s="24"/>
      <c r="B100" s="24"/>
      <c r="C100" s="24"/>
      <c r="D100" s="24"/>
    </row>
    <row r="101" spans="1:4" ht="21.75" customHeight="1">
      <c r="A101" s="24"/>
      <c r="B101" s="24"/>
      <c r="C101" s="24"/>
      <c r="D101" s="24"/>
    </row>
    <row r="102" spans="1:4" ht="21.75" customHeight="1">
      <c r="A102" s="24"/>
      <c r="B102" s="24"/>
      <c r="C102" s="24"/>
      <c r="D102" s="24"/>
    </row>
    <row r="103" spans="1:4" ht="21.75" customHeight="1">
      <c r="A103" s="24"/>
      <c r="B103" s="24"/>
      <c r="C103" s="24"/>
      <c r="D103" s="24"/>
    </row>
    <row r="104" spans="1:4" ht="21.75" customHeight="1">
      <c r="A104" s="24"/>
      <c r="B104" s="24"/>
      <c r="C104" s="24"/>
      <c r="D104" s="24"/>
    </row>
    <row r="105" spans="1:4" ht="21.75" customHeight="1">
      <c r="A105" s="24"/>
      <c r="B105" s="24"/>
      <c r="C105" s="24"/>
      <c r="D105" s="24"/>
    </row>
    <row r="106" spans="1:4" ht="21.75" customHeight="1">
      <c r="A106" s="24"/>
      <c r="B106" s="24"/>
      <c r="C106" s="24"/>
      <c r="D106" s="24"/>
    </row>
    <row r="107" spans="1:4" ht="21.75" customHeight="1">
      <c r="A107" s="24"/>
      <c r="B107" s="24"/>
      <c r="C107" s="24"/>
      <c r="D107" s="24"/>
    </row>
    <row r="108" spans="1:4" ht="21.75" customHeight="1">
      <c r="A108" s="24"/>
      <c r="B108" s="24"/>
      <c r="C108" s="24"/>
      <c r="D108" s="24"/>
    </row>
    <row r="109" spans="1:4" ht="21.75" customHeight="1">
      <c r="A109" s="24"/>
      <c r="B109" s="24"/>
      <c r="C109" s="24"/>
      <c r="D109" s="24"/>
    </row>
    <row r="110" spans="1:4" ht="21.75" customHeight="1">
      <c r="A110" s="24"/>
      <c r="B110" s="24"/>
      <c r="C110" s="24"/>
      <c r="D110" s="24"/>
    </row>
    <row r="111" spans="1:4" ht="21.75" customHeight="1">
      <c r="A111" s="24"/>
      <c r="B111" s="24"/>
      <c r="C111" s="24"/>
      <c r="D111" s="24"/>
    </row>
    <row r="112" spans="1:4" ht="21.75" customHeight="1">
      <c r="A112" s="24"/>
      <c r="B112" s="24"/>
      <c r="C112" s="24"/>
      <c r="D112" s="24"/>
    </row>
    <row r="113" spans="1:4" ht="21.75" customHeight="1">
      <c r="A113" s="24"/>
      <c r="B113" s="24"/>
      <c r="C113" s="24"/>
      <c r="D113" s="24"/>
    </row>
    <row r="114" spans="1:4" ht="21.75" customHeight="1">
      <c r="A114" s="24"/>
      <c r="B114" s="24"/>
      <c r="C114" s="24"/>
      <c r="D114" s="24"/>
    </row>
    <row r="115" spans="1:4" ht="21.75" customHeight="1">
      <c r="A115" s="24"/>
      <c r="B115" s="24"/>
      <c r="C115" s="24"/>
      <c r="D115" s="24"/>
    </row>
    <row r="116" spans="1:4" ht="21.75" customHeight="1">
      <c r="A116" s="24"/>
      <c r="B116" s="24"/>
      <c r="C116" s="24"/>
      <c r="D116" s="24"/>
    </row>
    <row r="117" spans="1:4" ht="21.75" customHeight="1">
      <c r="A117" s="24"/>
      <c r="B117" s="24"/>
      <c r="C117" s="24"/>
      <c r="D117" s="24"/>
    </row>
    <row r="118" spans="1:4" ht="21.75" customHeight="1">
      <c r="A118" s="24"/>
      <c r="B118" s="24"/>
      <c r="C118" s="24"/>
      <c r="D118" s="24"/>
    </row>
    <row r="119" spans="1:4" ht="21.75" customHeight="1">
      <c r="A119" s="24"/>
      <c r="B119" s="24"/>
      <c r="C119" s="24"/>
      <c r="D119" s="24"/>
    </row>
    <row r="120" spans="1:4" ht="21.75" customHeight="1">
      <c r="A120" s="24"/>
      <c r="B120" s="24"/>
      <c r="C120" s="24"/>
      <c r="D120" s="24"/>
    </row>
    <row r="121" spans="1:4" ht="21.75" customHeight="1">
      <c r="A121" s="24"/>
      <c r="B121" s="24"/>
      <c r="C121" s="24"/>
      <c r="D121" s="24"/>
    </row>
    <row r="122" spans="1:4" ht="21.75" customHeight="1">
      <c r="A122" s="24"/>
      <c r="B122" s="24"/>
      <c r="C122" s="24"/>
      <c r="D122" s="24"/>
    </row>
    <row r="123" spans="1:4" ht="21.75" customHeight="1">
      <c r="A123" s="24"/>
      <c r="B123" s="24"/>
      <c r="C123" s="24"/>
      <c r="D123" s="24"/>
    </row>
    <row r="124" spans="1:4" ht="21.75" customHeight="1">
      <c r="A124" s="24"/>
      <c r="B124" s="24"/>
      <c r="C124" s="24"/>
      <c r="D124" s="24"/>
    </row>
    <row r="125" spans="1:4" ht="21.75" customHeight="1">
      <c r="A125" s="24"/>
      <c r="B125" s="24"/>
      <c r="C125" s="24"/>
      <c r="D125" s="24"/>
    </row>
    <row r="126" spans="1:4" ht="21.75" customHeight="1">
      <c r="A126" s="24"/>
      <c r="B126" s="24"/>
      <c r="C126" s="24"/>
      <c r="D126" s="24"/>
    </row>
    <row r="127" spans="1:4" ht="21.75" customHeight="1">
      <c r="A127" s="24"/>
      <c r="B127" s="24"/>
      <c r="C127" s="24"/>
      <c r="D127" s="24"/>
    </row>
    <row r="128" spans="1:4" ht="21.75" customHeight="1">
      <c r="A128" s="24"/>
      <c r="B128" s="24"/>
      <c r="C128" s="24"/>
      <c r="D128" s="24"/>
    </row>
    <row r="129" spans="1:4" ht="21.75" customHeight="1">
      <c r="A129" s="24"/>
      <c r="B129" s="24"/>
      <c r="C129" s="24"/>
      <c r="D129" s="24"/>
    </row>
    <row r="130" spans="1:4" ht="21.75" customHeight="1">
      <c r="A130" s="24"/>
      <c r="B130" s="24"/>
      <c r="C130" s="24"/>
      <c r="D130" s="24"/>
    </row>
    <row r="131" spans="1:4" ht="21.75" customHeight="1">
      <c r="A131" s="24"/>
      <c r="B131" s="24"/>
      <c r="C131" s="24"/>
      <c r="D131" s="24"/>
    </row>
    <row r="132" spans="1:4" ht="21.75" customHeight="1">
      <c r="A132" s="24"/>
      <c r="B132" s="24"/>
      <c r="C132" s="24"/>
      <c r="D132" s="24"/>
    </row>
    <row r="133" spans="1:4" ht="21.75" customHeight="1">
      <c r="A133" s="24"/>
      <c r="B133" s="24"/>
      <c r="C133" s="24"/>
      <c r="D133" s="24"/>
    </row>
    <row r="134" spans="1:4" ht="21.75" customHeight="1">
      <c r="A134" s="24"/>
      <c r="B134" s="24"/>
      <c r="C134" s="24"/>
      <c r="D134" s="24"/>
    </row>
    <row r="135" spans="1:4" ht="21.75" customHeight="1">
      <c r="A135" s="24"/>
      <c r="B135" s="24"/>
      <c r="C135" s="24"/>
      <c r="D135" s="24"/>
    </row>
    <row r="136" spans="1:4" ht="21.75" customHeight="1">
      <c r="A136" s="24"/>
      <c r="B136" s="24"/>
      <c r="C136" s="24"/>
      <c r="D136" s="24"/>
    </row>
    <row r="137" spans="1:4" ht="21.75" customHeight="1">
      <c r="A137" s="24"/>
      <c r="B137" s="24"/>
      <c r="C137" s="24"/>
      <c r="D137" s="24"/>
    </row>
    <row r="138" spans="1:4" ht="21.75" customHeight="1">
      <c r="A138" s="24"/>
      <c r="B138" s="24"/>
      <c r="C138" s="24"/>
      <c r="D138" s="24"/>
    </row>
    <row r="139" spans="1:4" ht="21.75" customHeight="1">
      <c r="A139" s="24"/>
      <c r="B139" s="24"/>
      <c r="C139" s="24"/>
      <c r="D139" s="24"/>
    </row>
    <row r="140" spans="1:4" ht="21.75" customHeight="1">
      <c r="A140" s="24"/>
      <c r="B140" s="24"/>
      <c r="C140" s="24"/>
      <c r="D140" s="24"/>
    </row>
    <row r="141" spans="1:4" ht="21.75" customHeight="1">
      <c r="A141" s="24"/>
      <c r="B141" s="24"/>
      <c r="C141" s="24"/>
      <c r="D141" s="24"/>
    </row>
    <row r="142" spans="1:4" ht="21.75" customHeight="1">
      <c r="A142" s="24"/>
      <c r="B142" s="24"/>
      <c r="C142" s="24"/>
      <c r="D142" s="24"/>
    </row>
    <row r="143" spans="1:4" ht="21.75" customHeight="1">
      <c r="A143" s="24"/>
      <c r="B143" s="24"/>
      <c r="C143" s="24"/>
      <c r="D143" s="24"/>
    </row>
    <row r="144" spans="1:4" ht="21.75" customHeight="1">
      <c r="A144" s="24"/>
      <c r="B144" s="24"/>
      <c r="C144" s="24"/>
      <c r="D144" s="24"/>
    </row>
    <row r="145" spans="1:4" ht="21.75" customHeight="1">
      <c r="A145" s="24"/>
      <c r="B145" s="24"/>
      <c r="C145" s="24"/>
      <c r="D145" s="24"/>
    </row>
    <row r="146" spans="1:4" ht="21.75" customHeight="1">
      <c r="A146" s="24"/>
      <c r="B146" s="24"/>
      <c r="C146" s="24"/>
      <c r="D146" s="24"/>
    </row>
    <row r="147" spans="1:4" ht="21.75" customHeight="1">
      <c r="A147" s="24"/>
      <c r="B147" s="24"/>
      <c r="C147" s="24"/>
      <c r="D147" s="24"/>
    </row>
    <row r="148" spans="1:4" ht="21.75" customHeight="1">
      <c r="A148" s="24"/>
      <c r="B148" s="24"/>
      <c r="C148" s="24"/>
      <c r="D148" s="24"/>
    </row>
    <row r="149" spans="1:4" ht="21.75" customHeight="1">
      <c r="A149" s="24"/>
      <c r="B149" s="24"/>
      <c r="C149" s="24"/>
      <c r="D149" s="24"/>
    </row>
    <row r="150" spans="1:4" ht="21.75" customHeight="1">
      <c r="A150" s="24"/>
      <c r="B150" s="24"/>
      <c r="C150" s="24"/>
      <c r="D150" s="24"/>
    </row>
    <row r="151" spans="1:4" ht="21.75" customHeight="1">
      <c r="A151" s="24"/>
      <c r="B151" s="24"/>
      <c r="C151" s="24"/>
      <c r="D151" s="24"/>
    </row>
    <row r="152" spans="1:4" ht="21.75" customHeight="1">
      <c r="A152" s="24"/>
      <c r="B152" s="24"/>
      <c r="C152" s="24"/>
      <c r="D152" s="24"/>
    </row>
    <row r="153" spans="1:4" ht="21.75" customHeight="1">
      <c r="A153" s="24"/>
      <c r="B153" s="24"/>
      <c r="C153" s="24"/>
      <c r="D153" s="24"/>
    </row>
    <row r="154" spans="1:4" ht="21.75" customHeight="1">
      <c r="A154" s="24"/>
      <c r="B154" s="24"/>
      <c r="C154" s="24"/>
      <c r="D154" s="24"/>
    </row>
    <row r="155" spans="1:4" ht="21.75" customHeight="1">
      <c r="A155" s="24"/>
      <c r="B155" s="24"/>
      <c r="C155" s="24"/>
      <c r="D155" s="24"/>
    </row>
    <row r="156" spans="1:4" ht="21.75" customHeight="1">
      <c r="A156" s="24"/>
      <c r="B156" s="24"/>
      <c r="C156" s="24"/>
      <c r="D156" s="24"/>
    </row>
    <row r="157" spans="1:4" ht="21.75" customHeight="1">
      <c r="A157" s="24"/>
      <c r="B157" s="24"/>
      <c r="C157" s="24"/>
      <c r="D157" s="24"/>
    </row>
    <row r="158" spans="1:4" ht="21.75" customHeight="1">
      <c r="A158" s="24"/>
      <c r="B158" s="24"/>
      <c r="C158" s="24"/>
      <c r="D158" s="24"/>
    </row>
    <row r="159" spans="1:4" ht="21.75" customHeight="1">
      <c r="A159" s="24"/>
      <c r="B159" s="24"/>
      <c r="C159" s="24"/>
      <c r="D159" s="24"/>
    </row>
    <row r="160" spans="1:4" ht="21.75" customHeight="1">
      <c r="A160" s="24"/>
      <c r="B160" s="24"/>
      <c r="C160" s="24"/>
      <c r="D160" s="24"/>
    </row>
    <row r="161" spans="1:4" ht="12.75">
      <c r="A161" s="24"/>
      <c r="B161" s="24"/>
      <c r="C161" s="24"/>
      <c r="D161" s="24"/>
    </row>
    <row r="162" spans="1:4" ht="12.75">
      <c r="A162" s="24"/>
      <c r="B162" s="24"/>
      <c r="C162" s="24"/>
      <c r="D162" s="24"/>
    </row>
    <row r="163" spans="1:4" ht="12.75">
      <c r="A163" s="24"/>
      <c r="B163" s="24"/>
      <c r="C163" s="24"/>
      <c r="D163" s="24"/>
    </row>
    <row r="164" spans="1:4" ht="12.75">
      <c r="A164" s="24"/>
      <c r="B164" s="24"/>
      <c r="C164" s="24"/>
      <c r="D164" s="24"/>
    </row>
    <row r="165" spans="1:4" ht="12.75">
      <c r="A165" s="24"/>
      <c r="B165" s="24"/>
      <c r="C165" s="24"/>
      <c r="D165" s="24"/>
    </row>
    <row r="166" spans="1:4" ht="12.75">
      <c r="A166" s="24"/>
      <c r="B166" s="24"/>
      <c r="C166" s="24"/>
      <c r="D166" s="24"/>
    </row>
    <row r="167" spans="1:4" ht="12.75">
      <c r="A167" s="24"/>
      <c r="B167" s="24"/>
      <c r="C167" s="24"/>
      <c r="D167" s="24"/>
    </row>
  </sheetData>
  <sheetProtection/>
  <mergeCells count="33">
    <mergeCell ref="A34:F34"/>
    <mergeCell ref="A35:F35"/>
    <mergeCell ref="A21:F21"/>
    <mergeCell ref="A27:F27"/>
    <mergeCell ref="A24:F24"/>
    <mergeCell ref="A25:F25"/>
    <mergeCell ref="A33:F33"/>
    <mergeCell ref="A30:F30"/>
    <mergeCell ref="A31:F31"/>
    <mergeCell ref="A32:F32"/>
    <mergeCell ref="A22:F22"/>
    <mergeCell ref="A29:F29"/>
    <mergeCell ref="A18:F18"/>
    <mergeCell ref="A20:F20"/>
    <mergeCell ref="A19:F19"/>
    <mergeCell ref="A23:F23"/>
    <mergeCell ref="A15:F15"/>
    <mergeCell ref="A16:F16"/>
    <mergeCell ref="A17:F17"/>
    <mergeCell ref="A28:F28"/>
    <mergeCell ref="A26:F26"/>
    <mergeCell ref="I9:I10"/>
    <mergeCell ref="G9:G10"/>
    <mergeCell ref="H9:H10"/>
    <mergeCell ref="A11:F11"/>
    <mergeCell ref="A14:F14"/>
    <mergeCell ref="A1:F2"/>
    <mergeCell ref="A6:F6"/>
    <mergeCell ref="A3:F3"/>
    <mergeCell ref="A4:F4"/>
    <mergeCell ref="A12:F12"/>
    <mergeCell ref="A5:F5"/>
    <mergeCell ref="A9:F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7">
      <selection activeCell="D10" sqref="D10"/>
    </sheetView>
  </sheetViews>
  <sheetFormatPr defaultColWidth="9.00390625" defaultRowHeight="12.75"/>
  <cols>
    <col min="1" max="1" width="38.125" style="40" customWidth="1"/>
    <col min="2" max="2" width="15.75390625" style="163" bestFit="1" customWidth="1"/>
    <col min="3" max="3" width="18.00390625" style="163" bestFit="1" customWidth="1"/>
    <col min="4" max="4" width="13.75390625" style="163" bestFit="1" customWidth="1"/>
    <col min="5" max="5" width="18.00390625" style="163" bestFit="1" customWidth="1"/>
    <col min="6" max="7" width="9.125" style="40" customWidth="1"/>
  </cols>
  <sheetData>
    <row r="1" spans="1:5" ht="18">
      <c r="A1" s="642" t="s">
        <v>469</v>
      </c>
      <c r="B1" s="643"/>
      <c r="C1" s="643"/>
      <c r="D1" s="643"/>
      <c r="E1" s="643"/>
    </row>
    <row r="2" spans="1:5" ht="18.75">
      <c r="A2" s="644" t="s">
        <v>220</v>
      </c>
      <c r="B2" s="644"/>
      <c r="C2" s="644"/>
      <c r="D2" s="644"/>
      <c r="E2" s="644"/>
    </row>
    <row r="4" spans="1:5" ht="45" customHeight="1">
      <c r="A4" s="641" t="s">
        <v>111</v>
      </c>
      <c r="B4" s="641"/>
      <c r="C4" s="641"/>
      <c r="D4" s="641"/>
      <c r="E4" s="641"/>
    </row>
    <row r="5" ht="29.25" customHeight="1"/>
    <row r="6" ht="18" customHeight="1"/>
    <row r="7" spans="2:5" ht="15.75">
      <c r="B7" s="646"/>
      <c r="C7" s="646"/>
      <c r="D7" s="646"/>
      <c r="E7" s="646"/>
    </row>
    <row r="8" spans="1:5" ht="15.75">
      <c r="A8" s="76" t="s">
        <v>112</v>
      </c>
      <c r="B8" s="645"/>
      <c r="C8" s="645"/>
      <c r="D8" s="645"/>
      <c r="E8" s="645"/>
    </row>
    <row r="9" ht="13.5" thickBot="1">
      <c r="E9" s="163" t="s">
        <v>224</v>
      </c>
    </row>
    <row r="10" spans="1:5" ht="16.5" thickBot="1">
      <c r="A10" s="350" t="s">
        <v>113</v>
      </c>
      <c r="B10" s="353"/>
      <c r="C10" s="352"/>
      <c r="D10" s="353"/>
      <c r="E10" s="351" t="s">
        <v>36</v>
      </c>
    </row>
    <row r="11" spans="1:5" ht="15.75">
      <c r="A11" s="78" t="s">
        <v>114</v>
      </c>
      <c r="B11" s="166"/>
      <c r="C11" s="166"/>
      <c r="D11" s="166"/>
      <c r="E11" s="167">
        <f aca="true" t="shared" si="0" ref="E11:E17">SUM(B11:D11)</f>
        <v>0</v>
      </c>
    </row>
    <row r="12" spans="1:5" ht="15.75">
      <c r="A12" s="79" t="s">
        <v>115</v>
      </c>
      <c r="B12" s="168"/>
      <c r="C12" s="168"/>
      <c r="D12" s="168"/>
      <c r="E12" s="167">
        <f t="shared" si="0"/>
        <v>0</v>
      </c>
    </row>
    <row r="13" spans="1:5" ht="15.75">
      <c r="A13" s="81" t="s">
        <v>116</v>
      </c>
      <c r="B13" s="168">
        <v>0</v>
      </c>
      <c r="C13" s="168"/>
      <c r="D13" s="168"/>
      <c r="E13" s="167">
        <f t="shared" si="0"/>
        <v>0</v>
      </c>
    </row>
    <row r="14" spans="1:5" ht="15.75">
      <c r="A14" s="81" t="s">
        <v>117</v>
      </c>
      <c r="B14" s="168"/>
      <c r="C14" s="168"/>
      <c r="D14" s="168"/>
      <c r="E14" s="167">
        <f t="shared" si="0"/>
        <v>0</v>
      </c>
    </row>
    <row r="15" spans="1:5" ht="15.75">
      <c r="A15" s="81" t="s">
        <v>118</v>
      </c>
      <c r="B15" s="168"/>
      <c r="C15" s="168"/>
      <c r="D15" s="168"/>
      <c r="E15" s="167">
        <f t="shared" si="0"/>
        <v>0</v>
      </c>
    </row>
    <row r="16" spans="1:5" ht="16.5" thickBot="1">
      <c r="A16" s="82" t="s">
        <v>335</v>
      </c>
      <c r="B16" s="169">
        <v>0</v>
      </c>
      <c r="C16" s="169"/>
      <c r="D16" s="169"/>
      <c r="E16" s="170">
        <f t="shared" si="0"/>
        <v>0</v>
      </c>
    </row>
    <row r="17" spans="1:5" ht="16.5" thickBot="1">
      <c r="A17" s="77" t="s">
        <v>119</v>
      </c>
      <c r="B17" s="171">
        <f>SUM(B11:B16)</f>
        <v>0</v>
      </c>
      <c r="C17" s="171">
        <f>SUM(C11:C16)</f>
        <v>0</v>
      </c>
      <c r="D17" s="171">
        <f>SUM(D11:D16)</f>
        <v>0</v>
      </c>
      <c r="E17" s="172">
        <f t="shared" si="0"/>
        <v>0</v>
      </c>
    </row>
    <row r="18" spans="1:5" ht="16.5" thickBot="1">
      <c r="A18" s="41"/>
      <c r="B18" s="173"/>
      <c r="C18" s="173"/>
      <c r="D18" s="173"/>
      <c r="E18" s="173"/>
    </row>
    <row r="19" spans="1:5" ht="16.5" thickBot="1">
      <c r="A19" s="77" t="s">
        <v>120</v>
      </c>
      <c r="B19" s="164">
        <v>2020</v>
      </c>
      <c r="C19" s="164">
        <v>2021</v>
      </c>
      <c r="D19" s="164">
        <v>2022</v>
      </c>
      <c r="E19" s="165" t="s">
        <v>36</v>
      </c>
    </row>
    <row r="20" spans="1:5" ht="15.75">
      <c r="A20" s="78" t="s">
        <v>121</v>
      </c>
      <c r="B20" s="166"/>
      <c r="C20" s="166"/>
      <c r="D20" s="166"/>
      <c r="E20" s="167">
        <f>SUM(B20:D20)</f>
        <v>0</v>
      </c>
    </row>
    <row r="21" spans="1:5" ht="34.5" customHeight="1">
      <c r="A21" s="222" t="s">
        <v>334</v>
      </c>
      <c r="B21" s="168">
        <v>0</v>
      </c>
      <c r="C21" s="168"/>
      <c r="D21" s="168"/>
      <c r="E21" s="167">
        <f>SUM(B21:D21)</f>
        <v>0</v>
      </c>
    </row>
    <row r="22" spans="1:5" ht="15.75">
      <c r="A22" s="81" t="s">
        <v>122</v>
      </c>
      <c r="B22" s="168"/>
      <c r="C22" s="168"/>
      <c r="D22" s="168"/>
      <c r="E22" s="167">
        <f>SUM(B22:D22)</f>
        <v>0</v>
      </c>
    </row>
    <row r="23" spans="1:5" ht="16.5" thickBot="1">
      <c r="A23" s="82" t="s">
        <v>207</v>
      </c>
      <c r="B23" s="169"/>
      <c r="C23" s="169"/>
      <c r="D23" s="169"/>
      <c r="E23" s="170">
        <f>SUM(B23:D23)</f>
        <v>0</v>
      </c>
    </row>
    <row r="24" spans="1:5" ht="16.5" thickBot="1">
      <c r="A24" s="77" t="s">
        <v>36</v>
      </c>
      <c r="B24" s="171">
        <f>SUM(B20:B23)</f>
        <v>0</v>
      </c>
      <c r="C24" s="171">
        <f>SUM(C20:C23)</f>
        <v>0</v>
      </c>
      <c r="D24" s="171">
        <f>SUM(D20:D23)</f>
        <v>0</v>
      </c>
      <c r="E24" s="172">
        <f>SUM(B24:D24)</f>
        <v>0</v>
      </c>
    </row>
  </sheetData>
  <sheetProtection/>
  <mergeCells count="5">
    <mergeCell ref="A4:E4"/>
    <mergeCell ref="A1:E1"/>
    <mergeCell ref="A2:E2"/>
    <mergeCell ref="B8:E8"/>
    <mergeCell ref="B7:E7"/>
  </mergeCells>
  <printOptions/>
  <pageMargins left="0.75" right="0.18" top="0.57" bottom="1" header="0.5" footer="0.5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0">
      <selection activeCell="D20" sqref="D20"/>
    </sheetView>
  </sheetViews>
  <sheetFormatPr defaultColWidth="8.00390625" defaultRowHeight="12.75"/>
  <cols>
    <col min="1" max="1" width="5.00390625" style="75" customWidth="1"/>
    <col min="2" max="2" width="47.00390625" style="62" customWidth="1"/>
    <col min="3" max="4" width="15.125" style="62" customWidth="1"/>
    <col min="5" max="16384" width="8.00390625" style="62" customWidth="1"/>
  </cols>
  <sheetData>
    <row r="1" spans="2:3" ht="18">
      <c r="B1" s="648" t="s">
        <v>494</v>
      </c>
      <c r="C1" s="649"/>
    </row>
    <row r="3" spans="2:3" ht="37.5" customHeight="1">
      <c r="B3" s="648" t="s">
        <v>220</v>
      </c>
      <c r="C3" s="649"/>
    </row>
    <row r="4" spans="2:3" ht="36.75" customHeight="1">
      <c r="B4" s="648" t="s">
        <v>204</v>
      </c>
      <c r="C4" s="649"/>
    </row>
    <row r="5" spans="1:4" s="50" customFormat="1" ht="15.75" thickBot="1">
      <c r="A5" s="49"/>
      <c r="D5" s="161" t="s">
        <v>217</v>
      </c>
    </row>
    <row r="6" spans="1:4" s="54" customFormat="1" ht="48" customHeight="1" thickBot="1">
      <c r="A6" s="51" t="s">
        <v>184</v>
      </c>
      <c r="B6" s="52" t="s">
        <v>48</v>
      </c>
      <c r="C6" s="52" t="s">
        <v>49</v>
      </c>
      <c r="D6" s="53" t="s">
        <v>50</v>
      </c>
    </row>
    <row r="7" spans="1:4" s="54" customFormat="1" ht="13.5" customHeight="1" thickBot="1">
      <c r="A7" s="55">
        <v>1</v>
      </c>
      <c r="B7" s="56">
        <v>2</v>
      </c>
      <c r="C7" s="56">
        <v>3</v>
      </c>
      <c r="D7" s="57">
        <v>4</v>
      </c>
    </row>
    <row r="8" spans="1:4" ht="18" customHeight="1">
      <c r="A8" s="58" t="s">
        <v>29</v>
      </c>
      <c r="B8" s="59" t="s">
        <v>51</v>
      </c>
      <c r="C8" s="60"/>
      <c r="D8" s="61"/>
    </row>
    <row r="9" spans="1:4" ht="18" customHeight="1">
      <c r="A9" s="63" t="s">
        <v>37</v>
      </c>
      <c r="B9" s="64" t="s">
        <v>52</v>
      </c>
      <c r="C9" s="65"/>
      <c r="D9" s="66"/>
    </row>
    <row r="10" spans="1:4" ht="18" customHeight="1">
      <c r="A10" s="63" t="s">
        <v>38</v>
      </c>
      <c r="B10" s="64" t="s">
        <v>53</v>
      </c>
      <c r="C10" s="65"/>
      <c r="D10" s="66"/>
    </row>
    <row r="11" spans="1:4" ht="18" customHeight="1">
      <c r="A11" s="63" t="s">
        <v>39</v>
      </c>
      <c r="B11" s="64" t="s">
        <v>54</v>
      </c>
      <c r="C11" s="65"/>
      <c r="D11" s="66"/>
    </row>
    <row r="12" spans="1:4" ht="18" customHeight="1">
      <c r="A12" s="63" t="s">
        <v>40</v>
      </c>
      <c r="B12" s="64" t="s">
        <v>55</v>
      </c>
      <c r="C12" s="65"/>
      <c r="D12" s="66"/>
    </row>
    <row r="13" spans="1:4" ht="18" customHeight="1">
      <c r="A13" s="63" t="s">
        <v>41</v>
      </c>
      <c r="B13" s="64" t="s">
        <v>56</v>
      </c>
      <c r="C13" s="65"/>
      <c r="D13" s="66"/>
    </row>
    <row r="14" spans="1:4" ht="18" customHeight="1">
      <c r="A14" s="63" t="s">
        <v>42</v>
      </c>
      <c r="B14" s="67" t="s">
        <v>57</v>
      </c>
      <c r="C14" s="65"/>
      <c r="D14" s="66"/>
    </row>
    <row r="15" spans="1:4" ht="18" customHeight="1">
      <c r="A15" s="63" t="s">
        <v>43</v>
      </c>
      <c r="B15" s="67" t="s">
        <v>58</v>
      </c>
      <c r="C15" s="65"/>
      <c r="D15" s="66"/>
    </row>
    <row r="16" spans="1:4" ht="18" customHeight="1">
      <c r="A16" s="63" t="s">
        <v>44</v>
      </c>
      <c r="B16" s="67" t="s">
        <v>59</v>
      </c>
      <c r="C16" s="65"/>
      <c r="D16" s="66"/>
    </row>
    <row r="17" spans="1:4" ht="18" customHeight="1">
      <c r="A17" s="63" t="s">
        <v>30</v>
      </c>
      <c r="B17" s="67" t="s">
        <v>60</v>
      </c>
      <c r="C17" s="65"/>
      <c r="D17" s="66"/>
    </row>
    <row r="18" spans="1:4" ht="18" customHeight="1">
      <c r="A18" s="63" t="s">
        <v>45</v>
      </c>
      <c r="B18" s="67" t="s">
        <v>97</v>
      </c>
      <c r="C18" s="65"/>
      <c r="D18" s="66"/>
    </row>
    <row r="19" spans="1:4" ht="22.5" customHeight="1">
      <c r="A19" s="63" t="s">
        <v>46</v>
      </c>
      <c r="B19" s="67" t="s">
        <v>98</v>
      </c>
      <c r="C19" s="65"/>
      <c r="D19" s="66"/>
    </row>
    <row r="20" spans="1:4" ht="18" customHeight="1">
      <c r="A20" s="63" t="s">
        <v>99</v>
      </c>
      <c r="B20" s="64" t="s">
        <v>100</v>
      </c>
      <c r="C20" s="65"/>
      <c r="D20" s="66"/>
    </row>
    <row r="21" spans="1:4" ht="18" customHeight="1">
      <c r="A21" s="63" t="s">
        <v>101</v>
      </c>
      <c r="B21" s="64" t="s">
        <v>102</v>
      </c>
      <c r="C21" s="65"/>
      <c r="D21" s="66"/>
    </row>
    <row r="22" spans="1:4" ht="18" customHeight="1">
      <c r="A22" s="63" t="s">
        <v>103</v>
      </c>
      <c r="B22" s="64" t="s">
        <v>104</v>
      </c>
      <c r="C22" s="65"/>
      <c r="D22" s="66"/>
    </row>
    <row r="23" spans="1:4" ht="18" customHeight="1">
      <c r="A23" s="63" t="s">
        <v>105</v>
      </c>
      <c r="B23" s="64" t="s">
        <v>106</v>
      </c>
      <c r="C23" s="65"/>
      <c r="D23" s="66"/>
    </row>
    <row r="24" spans="1:4" ht="18" customHeight="1">
      <c r="A24" s="63" t="s">
        <v>107</v>
      </c>
      <c r="B24" s="64" t="s">
        <v>108</v>
      </c>
      <c r="C24" s="65"/>
      <c r="D24" s="66"/>
    </row>
    <row r="25" spans="1:4" ht="18" customHeight="1" thickBot="1">
      <c r="A25" s="63" t="s">
        <v>109</v>
      </c>
      <c r="B25" s="68"/>
      <c r="C25" s="69"/>
      <c r="D25" s="66"/>
    </row>
    <row r="26" spans="1:4" ht="18" customHeight="1" thickBot="1">
      <c r="A26" s="70" t="s">
        <v>110</v>
      </c>
      <c r="B26" s="71" t="s">
        <v>47</v>
      </c>
      <c r="C26" s="72">
        <f>SUM(C8:C25)</f>
        <v>0</v>
      </c>
      <c r="D26" s="73">
        <f>SUM(D8:D25)</f>
        <v>0</v>
      </c>
    </row>
    <row r="27" spans="1:4" ht="8.25" customHeight="1">
      <c r="A27" s="74"/>
      <c r="B27" s="647"/>
      <c r="C27" s="647"/>
      <c r="D27" s="647"/>
    </row>
  </sheetData>
  <sheetProtection/>
  <mergeCells count="4">
    <mergeCell ref="B27:D27"/>
    <mergeCell ref="B1:C1"/>
    <mergeCell ref="B3:C3"/>
    <mergeCell ref="B4:C4"/>
  </mergeCells>
  <printOptions horizontalCentered="1"/>
  <pageMargins left="0.7874015748031497" right="0.7874015748031497" top="1.63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13" sqref="L13"/>
    </sheetView>
  </sheetViews>
  <sheetFormatPr defaultColWidth="8.00390625" defaultRowHeight="12.75"/>
  <cols>
    <col min="1" max="1" width="5.875" style="47" customWidth="1"/>
    <col min="2" max="2" width="42.625" style="48" customWidth="1"/>
    <col min="3" max="3" width="12.125" style="48" bestFit="1" customWidth="1"/>
    <col min="4" max="8" width="11.00390625" style="48" customWidth="1"/>
    <col min="9" max="9" width="11.875" style="48" customWidth="1"/>
    <col min="10" max="16384" width="8.00390625" style="48" customWidth="1"/>
  </cols>
  <sheetData>
    <row r="1" spans="2:8" ht="18">
      <c r="B1" s="654" t="s">
        <v>495</v>
      </c>
      <c r="C1" s="655"/>
      <c r="D1" s="655"/>
      <c r="E1" s="655"/>
      <c r="F1" s="655"/>
      <c r="G1" s="655"/>
      <c r="H1" s="655"/>
    </row>
    <row r="2" spans="2:9" ht="18.75">
      <c r="B2" s="654" t="s">
        <v>220</v>
      </c>
      <c r="C2" s="654"/>
      <c r="D2" s="654"/>
      <c r="E2" s="654"/>
      <c r="F2" s="654"/>
      <c r="G2" s="654"/>
      <c r="H2" s="654"/>
      <c r="I2" s="162" t="s">
        <v>440</v>
      </c>
    </row>
    <row r="3" spans="2:8" ht="18">
      <c r="B3" s="654" t="s">
        <v>441</v>
      </c>
      <c r="C3" s="655"/>
      <c r="D3" s="655"/>
      <c r="E3" s="655"/>
      <c r="F3" s="655"/>
      <c r="G3" s="655"/>
      <c r="H3" s="655"/>
    </row>
    <row r="5" ht="14.25" thickBot="1">
      <c r="I5" s="263" t="s">
        <v>442</v>
      </c>
    </row>
    <row r="6" spans="1:9" ht="12.75">
      <c r="A6" s="656" t="s">
        <v>443</v>
      </c>
      <c r="B6" s="650" t="s">
        <v>444</v>
      </c>
      <c r="C6" s="656" t="s">
        <v>445</v>
      </c>
      <c r="D6" s="656" t="s">
        <v>496</v>
      </c>
      <c r="E6" s="658" t="s">
        <v>446</v>
      </c>
      <c r="F6" s="659"/>
      <c r="G6" s="659"/>
      <c r="H6" s="660"/>
      <c r="I6" s="650" t="s">
        <v>36</v>
      </c>
    </row>
    <row r="7" spans="1:9" ht="24.75" thickBot="1">
      <c r="A7" s="657"/>
      <c r="B7" s="651"/>
      <c r="C7" s="651"/>
      <c r="D7" s="657"/>
      <c r="E7" s="264" t="s">
        <v>447</v>
      </c>
      <c r="F7" s="264" t="s">
        <v>455</v>
      </c>
      <c r="G7" s="264" t="s">
        <v>497</v>
      </c>
      <c r="H7" s="265" t="s">
        <v>498</v>
      </c>
      <c r="I7" s="651"/>
    </row>
    <row r="8" spans="1:9" ht="13.5" thickBot="1">
      <c r="A8" s="266">
        <v>1</v>
      </c>
      <c r="B8" s="267">
        <v>2</v>
      </c>
      <c r="C8" s="268">
        <v>3</v>
      </c>
      <c r="D8" s="267">
        <v>4</v>
      </c>
      <c r="E8" s="266">
        <v>5</v>
      </c>
      <c r="F8" s="268">
        <v>6</v>
      </c>
      <c r="G8" s="268">
        <v>7</v>
      </c>
      <c r="H8" s="269">
        <v>8</v>
      </c>
      <c r="I8" s="270" t="s">
        <v>448</v>
      </c>
    </row>
    <row r="9" spans="1:9" ht="13.5" thickBot="1">
      <c r="A9" s="271" t="s">
        <v>29</v>
      </c>
      <c r="B9" s="272" t="s">
        <v>449</v>
      </c>
      <c r="C9" s="273"/>
      <c r="D9" s="274">
        <f>SUM(D10:D11)</f>
        <v>0</v>
      </c>
      <c r="E9" s="275"/>
      <c r="F9" s="276"/>
      <c r="G9" s="276"/>
      <c r="H9" s="277"/>
      <c r="I9" s="278"/>
    </row>
    <row r="10" spans="1:9" ht="12.75">
      <c r="A10" s="279" t="s">
        <v>37</v>
      </c>
      <c r="B10" s="280"/>
      <c r="C10" s="281"/>
      <c r="D10" s="282"/>
      <c r="E10" s="283"/>
      <c r="F10" s="284"/>
      <c r="G10" s="284"/>
      <c r="H10" s="285"/>
      <c r="I10" s="286">
        <f aca="true" t="shared" si="0" ref="I10:I22">SUM(D10:H10)</f>
        <v>0</v>
      </c>
    </row>
    <row r="11" spans="1:9" ht="13.5" thickBot="1">
      <c r="A11" s="279" t="s">
        <v>38</v>
      </c>
      <c r="B11" s="280"/>
      <c r="C11" s="281"/>
      <c r="D11" s="282"/>
      <c r="E11" s="283"/>
      <c r="F11" s="284"/>
      <c r="G11" s="284"/>
      <c r="H11" s="285"/>
      <c r="I11" s="286">
        <f t="shared" si="0"/>
        <v>0</v>
      </c>
    </row>
    <row r="12" spans="1:9" ht="13.5" thickBot="1">
      <c r="A12" s="271" t="s">
        <v>39</v>
      </c>
      <c r="B12" s="287" t="s">
        <v>450</v>
      </c>
      <c r="C12" s="288"/>
      <c r="D12" s="274">
        <f>SUM(D13:D14)</f>
        <v>0</v>
      </c>
      <c r="E12" s="275">
        <f>SUM(E13:E14)</f>
        <v>0</v>
      </c>
      <c r="F12" s="276">
        <f>SUM(F13:F14)</f>
        <v>0</v>
      </c>
      <c r="G12" s="276">
        <f>SUM(G13:G14)</f>
        <v>0</v>
      </c>
      <c r="H12" s="277">
        <f>SUM(H13:H14)</f>
        <v>0</v>
      </c>
      <c r="I12" s="278">
        <f t="shared" si="0"/>
        <v>0</v>
      </c>
    </row>
    <row r="13" spans="1:9" ht="12.75">
      <c r="A13" s="279" t="s">
        <v>40</v>
      </c>
      <c r="B13" s="280"/>
      <c r="C13" s="289"/>
      <c r="D13" s="282"/>
      <c r="E13" s="283"/>
      <c r="F13" s="284"/>
      <c r="G13" s="284"/>
      <c r="H13" s="285"/>
      <c r="I13" s="286">
        <f t="shared" si="0"/>
        <v>0</v>
      </c>
    </row>
    <row r="14" spans="1:9" ht="13.5" thickBot="1">
      <c r="A14" s="279" t="s">
        <v>41</v>
      </c>
      <c r="B14" s="280"/>
      <c r="C14" s="281"/>
      <c r="D14" s="282"/>
      <c r="E14" s="283"/>
      <c r="F14" s="284"/>
      <c r="G14" s="284"/>
      <c r="H14" s="285"/>
      <c r="I14" s="286">
        <f t="shared" si="0"/>
        <v>0</v>
      </c>
    </row>
    <row r="15" spans="1:9" ht="13.5" thickBot="1">
      <c r="A15" s="271" t="s">
        <v>42</v>
      </c>
      <c r="B15" s="287" t="s">
        <v>451</v>
      </c>
      <c r="C15" s="288"/>
      <c r="D15" s="274">
        <f>SUM(D17:D17)</f>
        <v>0</v>
      </c>
      <c r="E15" s="275">
        <f>E17</f>
        <v>0</v>
      </c>
      <c r="F15" s="276"/>
      <c r="G15" s="276"/>
      <c r="H15" s="277">
        <f>SUM(H17:H17)</f>
        <v>0</v>
      </c>
      <c r="I15" s="278">
        <f t="shared" si="0"/>
        <v>0</v>
      </c>
    </row>
    <row r="16" spans="1:9" ht="15.75">
      <c r="A16" s="290"/>
      <c r="B16" s="84"/>
      <c r="C16" s="291"/>
      <c r="D16" s="292"/>
      <c r="E16" s="293"/>
      <c r="F16" s="294"/>
      <c r="G16" s="294"/>
      <c r="H16" s="295"/>
      <c r="I16" s="296"/>
    </row>
    <row r="17" spans="1:9" ht="16.5" thickBot="1">
      <c r="A17" s="279" t="s">
        <v>43</v>
      </c>
      <c r="B17" s="84"/>
      <c r="C17" s="281"/>
      <c r="D17" s="282"/>
      <c r="E17" s="83"/>
      <c r="F17" s="283"/>
      <c r="G17" s="283"/>
      <c r="H17" s="285"/>
      <c r="I17" s="286">
        <f t="shared" si="0"/>
        <v>0</v>
      </c>
    </row>
    <row r="18" spans="1:9" ht="13.5" thickBot="1">
      <c r="A18" s="271" t="s">
        <v>44</v>
      </c>
      <c r="B18" s="287" t="s">
        <v>452</v>
      </c>
      <c r="C18" s="288"/>
      <c r="D18" s="274"/>
      <c r="E18" s="275">
        <f>E19+E20</f>
        <v>0</v>
      </c>
      <c r="F18" s="276">
        <f>F20</f>
        <v>0</v>
      </c>
      <c r="G18" s="276">
        <f>SUM(G19:G19)</f>
        <v>0</v>
      </c>
      <c r="H18" s="277">
        <f>SUM(H19:H19)</f>
        <v>0</v>
      </c>
      <c r="I18" s="278">
        <f t="shared" si="0"/>
        <v>0</v>
      </c>
    </row>
    <row r="19" spans="1:9" ht="16.5" thickBot="1">
      <c r="A19" s="297" t="s">
        <v>30</v>
      </c>
      <c r="B19" s="84"/>
      <c r="C19" s="281"/>
      <c r="D19" s="282"/>
      <c r="E19" s="283"/>
      <c r="F19" s="283"/>
      <c r="G19" s="283"/>
      <c r="H19" s="285"/>
      <c r="I19" s="298">
        <f t="shared" si="0"/>
        <v>0</v>
      </c>
    </row>
    <row r="20" spans="1:9" ht="13.5" thickBot="1">
      <c r="A20" s="271" t="s">
        <v>45</v>
      </c>
      <c r="B20" s="299"/>
      <c r="C20" s="288"/>
      <c r="D20" s="300">
        <f>SUM(D21:D21)</f>
        <v>0</v>
      </c>
      <c r="E20" s="301"/>
      <c r="F20" s="302"/>
      <c r="G20" s="302">
        <f>SUM(G21:G21)</f>
        <v>0</v>
      </c>
      <c r="H20" s="303"/>
      <c r="I20" s="278">
        <f t="shared" si="0"/>
        <v>0</v>
      </c>
    </row>
    <row r="21" spans="1:9" ht="13.5" thickBot="1">
      <c r="A21" s="290" t="s">
        <v>46</v>
      </c>
      <c r="B21" s="304" t="s">
        <v>453</v>
      </c>
      <c r="C21" s="305"/>
      <c r="D21" s="306"/>
      <c r="E21" s="307"/>
      <c r="F21" s="308"/>
      <c r="G21" s="308"/>
      <c r="H21" s="309"/>
      <c r="I21" s="296">
        <f t="shared" si="0"/>
        <v>0</v>
      </c>
    </row>
    <row r="22" spans="1:9" ht="13.5" thickBot="1">
      <c r="A22" s="652" t="s">
        <v>454</v>
      </c>
      <c r="B22" s="653"/>
      <c r="C22" s="310"/>
      <c r="D22" s="274">
        <f>D9+D12+D15+D18+D20</f>
        <v>0</v>
      </c>
      <c r="E22" s="275">
        <f>E18+E15</f>
        <v>0</v>
      </c>
      <c r="F22" s="276">
        <f>F18</f>
        <v>0</v>
      </c>
      <c r="G22" s="276">
        <f>G9+G12+G15+G18+G20</f>
        <v>0</v>
      </c>
      <c r="H22" s="277">
        <f>H9+H12+H15+H18+H20</f>
        <v>0</v>
      </c>
      <c r="I22" s="278">
        <f t="shared" si="0"/>
        <v>0</v>
      </c>
    </row>
    <row r="32" ht="12.75">
      <c r="B32" s="311"/>
    </row>
  </sheetData>
  <sheetProtection/>
  <mergeCells count="10">
    <mergeCell ref="I6:I7"/>
    <mergeCell ref="A22:B22"/>
    <mergeCell ref="B1:H1"/>
    <mergeCell ref="B2:H2"/>
    <mergeCell ref="B3:H3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2020-06-26T10:08:23Z</cp:lastPrinted>
  <dcterms:created xsi:type="dcterms:W3CDTF">1997-01-17T14:02:09Z</dcterms:created>
  <dcterms:modified xsi:type="dcterms:W3CDTF">2020-10-26T14:07:37Z</dcterms:modified>
  <cp:category/>
  <cp:version/>
  <cp:contentType/>
  <cp:contentStatus/>
</cp:coreProperties>
</file>